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L:\Annual Plans\Tribe Annual Plans and Contracts\2020\Attachments\Benefit Matrices\"/>
    </mc:Choice>
  </mc:AlternateContent>
  <bookViews>
    <workbookView xWindow="0" yWindow="0" windowWidth="21570" windowHeight="9660" tabRatio="761" firstSheet="1" activeTab="1"/>
  </bookViews>
  <sheets>
    <sheet name="Budget" sheetId="8" r:id="rId1"/>
    <sheet name="LIHEAP Projected Budget" sheetId="18" r:id="rId2"/>
    <sheet name="Fed Pov Guidelines" sheetId="7" r:id="rId3"/>
    <sheet name="Yr. Poverty Guidelines 0-150%" sheetId="1" r:id="rId4"/>
    <sheet name="Mo. Poverty Guidelines 0-150%" sheetId="5" r:id="rId5"/>
    <sheet name="Stove Oil Prices" sheetId="15" r:id="rId6"/>
    <sheet name="LIHEAP Formula" sheetId="16" r:id="rId7"/>
    <sheet name="Payment Matrix" sheetId="13" r:id="rId8"/>
    <sheet name="CHAP Breakdown" sheetId="22" r:id="rId9"/>
    <sheet name="CHAP Matrix" sheetId="21" r:id="rId10"/>
  </sheets>
  <definedNames>
    <definedName name="_xlnm.Print_Area" localSheetId="8">'CHAP Breakdown'!$A$1:$I$45</definedName>
    <definedName name="_xlnm.Print_Area" localSheetId="2">'Fed Pov Guidelines'!$A$1:$E$23</definedName>
    <definedName name="_xlnm.Print_Area" localSheetId="1">'LIHEAP Projected Budget'!$A$1:$E$46</definedName>
    <definedName name="_xlnm.Print_Area" localSheetId="7">'Payment Matrix'!$A$1:$D$419</definedName>
    <definedName name="_xlnm.Print_Area" localSheetId="5">'Stove Oil Prices'!$A$1:$G$44</definedName>
    <definedName name="_xlnm.Print_Area" localSheetId="3">'Yr. Poverty Guidelines 0-150%'!$A$1:$V$30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8" l="1"/>
  <c r="C43" i="21"/>
  <c r="C20" i="21"/>
  <c r="C19" i="21"/>
  <c r="E43" i="22" l="1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E3" i="22"/>
  <c r="E2" i="22"/>
  <c r="E45" i="22" l="1"/>
  <c r="C2" i="22" s="1"/>
  <c r="C3" i="22" s="1"/>
  <c r="C4" i="22" s="1"/>
  <c r="C5" i="22" s="1"/>
  <c r="C6" i="22" s="1"/>
  <c r="C7" i="22" s="1"/>
  <c r="C8" i="22" s="1"/>
  <c r="C9" i="22" s="1"/>
  <c r="C10" i="22" s="1"/>
  <c r="C11" i="22" s="1"/>
  <c r="C12" i="22" s="1"/>
  <c r="C13" i="22" s="1"/>
  <c r="C14" i="22" s="1"/>
  <c r="C15" i="22" s="1"/>
  <c r="C16" i="22" s="1"/>
  <c r="C17" i="22" s="1"/>
  <c r="C18" i="22" s="1"/>
  <c r="C19" i="22" s="1"/>
  <c r="C20" i="22" s="1"/>
  <c r="C21" i="22" s="1"/>
  <c r="C22" i="22" s="1"/>
  <c r="C23" i="22" s="1"/>
  <c r="C24" i="22" s="1"/>
  <c r="C25" i="22" s="1"/>
  <c r="C26" i="22" s="1"/>
  <c r="C27" i="22" s="1"/>
  <c r="C28" i="22" s="1"/>
  <c r="C29" i="22" s="1"/>
  <c r="C30" i="22" s="1"/>
  <c r="C31" i="22" s="1"/>
  <c r="C32" i="22" s="1"/>
  <c r="C33" i="22" s="1"/>
  <c r="C34" i="22" s="1"/>
  <c r="C35" i="22" s="1"/>
  <c r="C36" i="22" s="1"/>
  <c r="C37" i="22" s="1"/>
  <c r="C38" i="22" s="1"/>
  <c r="C39" i="22" s="1"/>
  <c r="C40" i="22" s="1"/>
  <c r="C41" i="22" s="1"/>
  <c r="C42" i="22" s="1"/>
  <c r="C43" i="22" s="1"/>
  <c r="E44" i="22"/>
  <c r="B44" i="22"/>
  <c r="B44" i="15"/>
  <c r="E44" i="15"/>
  <c r="C45" i="21"/>
  <c r="C44" i="21"/>
  <c r="G44" i="15" l="1"/>
  <c r="F3" i="22"/>
  <c r="G2" i="22"/>
  <c r="H2" i="22" s="1"/>
  <c r="B2" i="21" l="1"/>
  <c r="D2" i="22"/>
  <c r="I2" i="22" l="1"/>
  <c r="A2" i="13"/>
  <c r="A12" i="13"/>
  <c r="J15" i="8" l="1"/>
  <c r="J14" i="8"/>
  <c r="J10" i="8"/>
  <c r="J9" i="8"/>
  <c r="J8" i="8"/>
  <c r="J7" i="8"/>
  <c r="J6" i="8"/>
  <c r="J5" i="8"/>
  <c r="A392" i="13" l="1"/>
  <c r="D2" i="21" l="1"/>
  <c r="D3" i="21" l="1"/>
  <c r="E3" i="21" s="1"/>
  <c r="E2" i="21"/>
  <c r="F4" i="22"/>
  <c r="F5" i="22" l="1"/>
  <c r="F6" i="22" s="1"/>
  <c r="F7" i="22" s="1"/>
  <c r="F8" i="22" s="1"/>
  <c r="F9" i="22" s="1"/>
  <c r="F10" i="22" s="1"/>
  <c r="F11" i="22" s="1"/>
  <c r="F19" i="22" s="1"/>
  <c r="F43" i="22" s="1"/>
  <c r="F12" i="22" s="1"/>
  <c r="F13" i="22" s="1"/>
  <c r="F14" i="22" s="1"/>
  <c r="F15" i="22" s="1"/>
  <c r="F16" i="22" s="1"/>
  <c r="F17" i="22" s="1"/>
  <c r="F18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D4" i="21"/>
  <c r="E4" i="21" s="1"/>
  <c r="D5" i="21"/>
  <c r="E5" i="21" s="1"/>
  <c r="G42" i="22"/>
  <c r="B42" i="21" s="1"/>
  <c r="G41" i="22"/>
  <c r="B41" i="21" s="1"/>
  <c r="G40" i="22"/>
  <c r="B40" i="21" s="1"/>
  <c r="G39" i="22"/>
  <c r="G38" i="22"/>
  <c r="B38" i="21" s="1"/>
  <c r="G37" i="22"/>
  <c r="B37" i="21" s="1"/>
  <c r="G36" i="22"/>
  <c r="B36" i="21" s="1"/>
  <c r="G35" i="22"/>
  <c r="B35" i="21" s="1"/>
  <c r="G34" i="22"/>
  <c r="B34" i="21" s="1"/>
  <c r="G33" i="22"/>
  <c r="B33" i="21" s="1"/>
  <c r="G32" i="22"/>
  <c r="B32" i="21" s="1"/>
  <c r="G31" i="22"/>
  <c r="B31" i="21" s="1"/>
  <c r="G30" i="22"/>
  <c r="B30" i="21" s="1"/>
  <c r="G29" i="22"/>
  <c r="B29" i="21" s="1"/>
  <c r="G28" i="22"/>
  <c r="B28" i="21" s="1"/>
  <c r="G27" i="22"/>
  <c r="G26" i="22"/>
  <c r="B26" i="21" s="1"/>
  <c r="G25" i="22"/>
  <c r="B25" i="21" s="1"/>
  <c r="G24" i="22"/>
  <c r="B24" i="21" s="1"/>
  <c r="G23" i="22"/>
  <c r="G22" i="22"/>
  <c r="B22" i="21" s="1"/>
  <c r="G21" i="22"/>
  <c r="B21" i="21" s="1"/>
  <c r="G20" i="22"/>
  <c r="B20" i="21" s="1"/>
  <c r="G18" i="22"/>
  <c r="G17" i="22"/>
  <c r="B17" i="21" s="1"/>
  <c r="G16" i="22"/>
  <c r="B16" i="21" s="1"/>
  <c r="G15" i="22"/>
  <c r="B15" i="21" s="1"/>
  <c r="G14" i="22"/>
  <c r="G13" i="22"/>
  <c r="B13" i="21" s="1"/>
  <c r="G12" i="22"/>
  <c r="B12" i="21" s="1"/>
  <c r="G43" i="22"/>
  <c r="B43" i="21" s="1"/>
  <c r="G19" i="22"/>
  <c r="G11" i="22"/>
  <c r="B11" i="21" s="1"/>
  <c r="G10" i="22"/>
  <c r="B10" i="21" s="1"/>
  <c r="G9" i="22"/>
  <c r="B9" i="21" s="1"/>
  <c r="G8" i="22"/>
  <c r="G7" i="22"/>
  <c r="B7" i="21" s="1"/>
  <c r="G6" i="22"/>
  <c r="B6" i="21" s="1"/>
  <c r="G5" i="22"/>
  <c r="B5" i="21" s="1"/>
  <c r="G4" i="22"/>
  <c r="G3" i="22"/>
  <c r="D43" i="22"/>
  <c r="D38" i="22"/>
  <c r="D34" i="22"/>
  <c r="D18" i="22"/>
  <c r="D19" i="22"/>
  <c r="D3" i="22"/>
  <c r="A402" i="13"/>
  <c r="A382" i="13"/>
  <c r="A372" i="13"/>
  <c r="A362" i="13"/>
  <c r="A352" i="13"/>
  <c r="A342" i="13"/>
  <c r="A332" i="13"/>
  <c r="A322" i="13"/>
  <c r="A312" i="13"/>
  <c r="A302" i="13"/>
  <c r="A292" i="13"/>
  <c r="A282" i="13"/>
  <c r="A272" i="13"/>
  <c r="A262" i="13"/>
  <c r="A252" i="13"/>
  <c r="A242" i="13"/>
  <c r="A232" i="13"/>
  <c r="A222" i="13"/>
  <c r="A212" i="13"/>
  <c r="A192" i="13"/>
  <c r="A182" i="13"/>
  <c r="A162" i="13"/>
  <c r="A152" i="13"/>
  <c r="A142" i="13"/>
  <c r="A132" i="13"/>
  <c r="A122" i="13"/>
  <c r="A112" i="13"/>
  <c r="A102" i="13"/>
  <c r="A412" i="13"/>
  <c r="A172" i="13"/>
  <c r="A92" i="13"/>
  <c r="A82" i="13"/>
  <c r="A62" i="13"/>
  <c r="A52" i="13"/>
  <c r="A42" i="13"/>
  <c r="A32" i="13"/>
  <c r="A22" i="13"/>
  <c r="H31" i="22" l="1"/>
  <c r="H4" i="22"/>
  <c r="B4" i="21"/>
  <c r="H8" i="22"/>
  <c r="B8" i="21"/>
  <c r="H19" i="22"/>
  <c r="I19" i="22" s="1"/>
  <c r="B19" i="21"/>
  <c r="H14" i="22"/>
  <c r="B14" i="21"/>
  <c r="H18" i="22"/>
  <c r="I18" i="22" s="1"/>
  <c r="B18" i="21"/>
  <c r="H23" i="22"/>
  <c r="B23" i="21"/>
  <c r="H27" i="22"/>
  <c r="B27" i="21"/>
  <c r="H39" i="22"/>
  <c r="B39" i="21"/>
  <c r="H3" i="22"/>
  <c r="B3" i="21"/>
  <c r="G44" i="22"/>
  <c r="H35" i="22"/>
  <c r="H5" i="22"/>
  <c r="H9" i="22"/>
  <c r="H43" i="22"/>
  <c r="I43" i="22" s="1"/>
  <c r="H15" i="22"/>
  <c r="H24" i="22"/>
  <c r="H28" i="22"/>
  <c r="H40" i="22"/>
  <c r="H36" i="22"/>
  <c r="H6" i="22"/>
  <c r="H10" i="22"/>
  <c r="H12" i="22"/>
  <c r="H16" i="22"/>
  <c r="H21" i="22"/>
  <c r="H25" i="22"/>
  <c r="H29" i="22"/>
  <c r="H33" i="22"/>
  <c r="H37" i="22"/>
  <c r="H41" i="22"/>
  <c r="F44" i="22"/>
  <c r="H20" i="22"/>
  <c r="H7" i="22"/>
  <c r="H11" i="22"/>
  <c r="H13" i="22"/>
  <c r="H17" i="22"/>
  <c r="H22" i="22"/>
  <c r="H26" i="22"/>
  <c r="H30" i="22"/>
  <c r="H34" i="22"/>
  <c r="I34" i="22" s="1"/>
  <c r="H38" i="22"/>
  <c r="I38" i="22" s="1"/>
  <c r="H42" i="22"/>
  <c r="F45" i="22"/>
  <c r="I3" i="22"/>
  <c r="D6" i="21"/>
  <c r="E6" i="21" s="1"/>
  <c r="G2" i="15"/>
  <c r="B44" i="21" l="1"/>
  <c r="I28" i="5"/>
  <c r="H29" i="5" s="1"/>
  <c r="E28" i="5"/>
  <c r="D29" i="5" s="1"/>
  <c r="D29" i="1"/>
  <c r="F27" i="1"/>
  <c r="D7" i="21"/>
  <c r="E7" i="21" s="1"/>
  <c r="F29" i="1"/>
  <c r="F30" i="1"/>
  <c r="K27" i="1" l="1"/>
  <c r="I27" i="5" s="1"/>
  <c r="H28" i="5" s="1"/>
  <c r="M28" i="5"/>
  <c r="L29" i="5" s="1"/>
  <c r="K29" i="1"/>
  <c r="I29" i="5" s="1"/>
  <c r="H30" i="5" s="1"/>
  <c r="I29" i="1"/>
  <c r="K30" i="1"/>
  <c r="I30" i="5" s="1"/>
  <c r="E30" i="5"/>
  <c r="D28" i="1"/>
  <c r="E27" i="5"/>
  <c r="D28" i="5" s="1"/>
  <c r="D30" i="1"/>
  <c r="E29" i="5"/>
  <c r="D30" i="5" s="1"/>
  <c r="D8" i="21"/>
  <c r="E8" i="21" s="1"/>
  <c r="Q28" i="5"/>
  <c r="P29" i="5" s="1"/>
  <c r="I28" i="1" l="1"/>
  <c r="I30" i="1"/>
  <c r="P30" i="1"/>
  <c r="P27" i="1"/>
  <c r="N28" i="1" s="1"/>
  <c r="N29" i="1"/>
  <c r="P29" i="1"/>
  <c r="N30" i="1" s="1"/>
  <c r="D9" i="21"/>
  <c r="E9" i="21" s="1"/>
  <c r="U30" i="1"/>
  <c r="U29" i="1"/>
  <c r="U27" i="1"/>
  <c r="S29" i="1"/>
  <c r="M29" i="5" l="1"/>
  <c r="L30" i="5" s="1"/>
  <c r="M27" i="5"/>
  <c r="L28" i="5" s="1"/>
  <c r="M30" i="5"/>
  <c r="Q30" i="5"/>
  <c r="S28" i="1"/>
  <c r="Q27" i="5"/>
  <c r="P28" i="5" s="1"/>
  <c r="S30" i="1"/>
  <c r="Q29" i="5"/>
  <c r="P30" i="5" s="1"/>
  <c r="D10" i="21"/>
  <c r="E10" i="21" s="1"/>
  <c r="B44" i="18"/>
  <c r="C40" i="18" l="1"/>
  <c r="C36" i="18"/>
  <c r="C32" i="18"/>
  <c r="C28" i="18"/>
  <c r="C24" i="18"/>
  <c r="C20" i="18"/>
  <c r="C16" i="18"/>
  <c r="C12" i="18"/>
  <c r="C8" i="18"/>
  <c r="C4" i="18"/>
  <c r="C43" i="18"/>
  <c r="C39" i="18"/>
  <c r="C35" i="18"/>
  <c r="C31" i="18"/>
  <c r="C27" i="18"/>
  <c r="C23" i="18"/>
  <c r="C19" i="18"/>
  <c r="C15" i="18"/>
  <c r="C11" i="18"/>
  <c r="C7" i="18"/>
  <c r="C3" i="18"/>
  <c r="C34" i="18"/>
  <c r="C6" i="18"/>
  <c r="C41" i="18"/>
  <c r="C33" i="18"/>
  <c r="C29" i="18"/>
  <c r="C21" i="18"/>
  <c r="C9" i="18"/>
  <c r="C42" i="18"/>
  <c r="C38" i="18"/>
  <c r="C30" i="18"/>
  <c r="C26" i="18"/>
  <c r="C22" i="18"/>
  <c r="C18" i="18"/>
  <c r="C14" i="18"/>
  <c r="C10" i="18"/>
  <c r="C2" i="18"/>
  <c r="C37" i="18"/>
  <c r="C25" i="18"/>
  <c r="C17" i="18"/>
  <c r="C13" i="18"/>
  <c r="C5" i="18"/>
  <c r="D11" i="21"/>
  <c r="E11" i="21" s="1"/>
  <c r="D13" i="8"/>
  <c r="C44" i="18" l="1"/>
  <c r="E16" i="8"/>
  <c r="J16" i="8" s="1"/>
  <c r="D19" i="21"/>
  <c r="E19" i="21" s="1"/>
  <c r="G19" i="15"/>
  <c r="G18" i="15"/>
  <c r="G38" i="15"/>
  <c r="G34" i="15"/>
  <c r="G43" i="15"/>
  <c r="D43" i="21" l="1"/>
  <c r="E43" i="21" s="1"/>
  <c r="I24" i="8"/>
  <c r="G24" i="8"/>
  <c r="D12" i="21" l="1"/>
  <c r="E12" i="21" s="1"/>
  <c r="D18" i="8"/>
  <c r="D20" i="8"/>
  <c r="J20" i="8" s="1"/>
  <c r="J18" i="8" l="1"/>
  <c r="D13" i="21"/>
  <c r="E13" i="21" s="1"/>
  <c r="H32" i="22"/>
  <c r="H44" i="22" s="1"/>
  <c r="D14" i="21" l="1"/>
  <c r="E14" i="21" s="1"/>
  <c r="E3" i="5"/>
  <c r="D15" i="21" l="1"/>
  <c r="E15" i="21" s="1"/>
  <c r="D16" i="21" l="1"/>
  <c r="E16" i="21" s="1"/>
  <c r="D17" i="21" l="1"/>
  <c r="E17" i="21" s="1"/>
  <c r="L24" i="8"/>
  <c r="D18" i="21" l="1"/>
  <c r="E18" i="21" s="1"/>
  <c r="D20" i="21" l="1"/>
  <c r="E20" i="21" s="1"/>
  <c r="D42" i="22"/>
  <c r="D41" i="22"/>
  <c r="D40" i="22"/>
  <c r="D39" i="22"/>
  <c r="D37" i="22"/>
  <c r="D36" i="22"/>
  <c r="D35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7" i="22"/>
  <c r="D16" i="22"/>
  <c r="D15" i="22"/>
  <c r="D14" i="22"/>
  <c r="D13" i="22"/>
  <c r="D12" i="22"/>
  <c r="D11" i="22"/>
  <c r="D10" i="22"/>
  <c r="D9" i="22"/>
  <c r="D8" i="22"/>
  <c r="D7" i="22"/>
  <c r="D6" i="22"/>
  <c r="D5" i="22"/>
  <c r="D4" i="22"/>
  <c r="D44" i="22" l="1"/>
  <c r="I11" i="22"/>
  <c r="I21" i="22"/>
  <c r="I25" i="22"/>
  <c r="I29" i="22"/>
  <c r="I33" i="22"/>
  <c r="I39" i="22"/>
  <c r="I4" i="22"/>
  <c r="I16" i="22"/>
  <c r="I22" i="22"/>
  <c r="I30" i="22"/>
  <c r="I35" i="22"/>
  <c r="I40" i="22"/>
  <c r="I5" i="22"/>
  <c r="I13" i="22"/>
  <c r="I23" i="22"/>
  <c r="I27" i="22"/>
  <c r="I31" i="22"/>
  <c r="I36" i="22"/>
  <c r="I41" i="22"/>
  <c r="I7" i="22"/>
  <c r="I15" i="22"/>
  <c r="I8" i="22"/>
  <c r="I12" i="22"/>
  <c r="I26" i="22"/>
  <c r="I9" i="22"/>
  <c r="I17" i="22"/>
  <c r="I6" i="22"/>
  <c r="I10" i="22"/>
  <c r="I14" i="22"/>
  <c r="I20" i="22"/>
  <c r="I24" i="22"/>
  <c r="I28" i="22"/>
  <c r="I32" i="22"/>
  <c r="I37" i="22"/>
  <c r="I42" i="22"/>
  <c r="D21" i="21"/>
  <c r="E21" i="21" s="1"/>
  <c r="I44" i="22" l="1"/>
  <c r="D22" i="21"/>
  <c r="E22" i="21" s="1"/>
  <c r="D23" i="21" l="1"/>
  <c r="E23" i="21" s="1"/>
  <c r="G3" i="15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5" i="15"/>
  <c r="G36" i="15"/>
  <c r="G37" i="15"/>
  <c r="G39" i="15"/>
  <c r="G40" i="15"/>
  <c r="G41" i="15"/>
  <c r="G42" i="15"/>
  <c r="D24" i="21" l="1"/>
  <c r="E24" i="21" s="1"/>
  <c r="B5" i="16"/>
  <c r="D25" i="21" l="1"/>
  <c r="E25" i="21" s="1"/>
  <c r="E4" i="5"/>
  <c r="I4" i="5"/>
  <c r="M4" i="5"/>
  <c r="Q4" i="5"/>
  <c r="E10" i="5"/>
  <c r="I10" i="5"/>
  <c r="M10" i="5"/>
  <c r="Q10" i="5"/>
  <c r="E16" i="5"/>
  <c r="I16" i="5"/>
  <c r="M16" i="5"/>
  <c r="Q16" i="5"/>
  <c r="E22" i="5"/>
  <c r="I22" i="5"/>
  <c r="M22" i="5"/>
  <c r="Q22" i="5"/>
  <c r="F6" i="1"/>
  <c r="E6" i="5" s="1"/>
  <c r="K6" i="1"/>
  <c r="I6" i="5" s="1"/>
  <c r="P6" i="1"/>
  <c r="M6" i="5" s="1"/>
  <c r="U6" i="1"/>
  <c r="Q6" i="5" s="1"/>
  <c r="F12" i="1"/>
  <c r="E12" i="5" s="1"/>
  <c r="K12" i="1"/>
  <c r="I12" i="5" s="1"/>
  <c r="P12" i="1"/>
  <c r="M12" i="5" s="1"/>
  <c r="U12" i="1"/>
  <c r="Q12" i="5" s="1"/>
  <c r="F18" i="1"/>
  <c r="E18" i="5" s="1"/>
  <c r="K18" i="1"/>
  <c r="I18" i="5" s="1"/>
  <c r="P18" i="1"/>
  <c r="M18" i="5" s="1"/>
  <c r="U18" i="1"/>
  <c r="Q18" i="5" s="1"/>
  <c r="F24" i="1"/>
  <c r="E24" i="5" s="1"/>
  <c r="K24" i="1"/>
  <c r="I24" i="5" s="1"/>
  <c r="P24" i="1"/>
  <c r="M24" i="5" s="1"/>
  <c r="U24" i="1"/>
  <c r="Q24" i="5" s="1"/>
  <c r="F5" i="1"/>
  <c r="E5" i="5" s="1"/>
  <c r="K5" i="1"/>
  <c r="I5" i="5" s="1"/>
  <c r="P5" i="1"/>
  <c r="M5" i="5" s="1"/>
  <c r="U5" i="1"/>
  <c r="Q5" i="5" s="1"/>
  <c r="F11" i="1"/>
  <c r="E11" i="5" s="1"/>
  <c r="K11" i="1"/>
  <c r="I11" i="5" s="1"/>
  <c r="P11" i="1"/>
  <c r="M11" i="5" s="1"/>
  <c r="U11" i="1"/>
  <c r="Q11" i="5" s="1"/>
  <c r="F17" i="1"/>
  <c r="E17" i="5" s="1"/>
  <c r="K17" i="1"/>
  <c r="I17" i="5" s="1"/>
  <c r="P17" i="1"/>
  <c r="M17" i="5" s="1"/>
  <c r="U17" i="1"/>
  <c r="Q17" i="5" s="1"/>
  <c r="F23" i="1"/>
  <c r="E23" i="5" s="1"/>
  <c r="K23" i="1"/>
  <c r="I23" i="5" s="1"/>
  <c r="P23" i="1"/>
  <c r="M23" i="5" s="1"/>
  <c r="U23" i="1"/>
  <c r="Q23" i="5" s="1"/>
  <c r="I3" i="5"/>
  <c r="M3" i="5"/>
  <c r="U3" i="1"/>
  <c r="Q3" i="5" s="1"/>
  <c r="F9" i="1"/>
  <c r="E9" i="5" s="1"/>
  <c r="K9" i="1"/>
  <c r="I9" i="5" s="1"/>
  <c r="P9" i="1"/>
  <c r="M9" i="5" s="1"/>
  <c r="U9" i="1"/>
  <c r="Q9" i="5" s="1"/>
  <c r="F15" i="1"/>
  <c r="E15" i="5" s="1"/>
  <c r="K15" i="1"/>
  <c r="I15" i="5" s="1"/>
  <c r="P15" i="1"/>
  <c r="M15" i="5" s="1"/>
  <c r="U15" i="1"/>
  <c r="Q15" i="5" s="1"/>
  <c r="F21" i="1"/>
  <c r="E21" i="5" s="1"/>
  <c r="K21" i="1"/>
  <c r="I21" i="5" s="1"/>
  <c r="P21" i="1"/>
  <c r="M21" i="5" s="1"/>
  <c r="U21" i="1"/>
  <c r="Q21" i="5" s="1"/>
  <c r="D26" i="21" l="1"/>
  <c r="E26" i="21" s="1"/>
  <c r="D27" i="21" l="1"/>
  <c r="E27" i="21" s="1"/>
  <c r="D28" i="21" l="1"/>
  <c r="E28" i="21" s="1"/>
  <c r="D29" i="21" l="1"/>
  <c r="E29" i="21" s="1"/>
  <c r="D30" i="21" l="1"/>
  <c r="E30" i="21" s="1"/>
  <c r="D22" i="8"/>
  <c r="J22" i="8" l="1"/>
  <c r="D4" i="8"/>
  <c r="E11" i="8" s="1"/>
  <c r="J11" i="8" s="1"/>
  <c r="N11" i="8" s="1"/>
  <c r="D31" i="21"/>
  <c r="E31" i="21" s="1"/>
  <c r="B45" i="18" l="1"/>
  <c r="D24" i="8"/>
  <c r="D32" i="21"/>
  <c r="E32" i="21" s="1"/>
  <c r="D24" i="1"/>
  <c r="D23" i="1"/>
  <c r="I23" i="1"/>
  <c r="D22" i="1"/>
  <c r="D18" i="1"/>
  <c r="D17" i="1"/>
  <c r="D16" i="1"/>
  <c r="D12" i="1"/>
  <c r="D11" i="1"/>
  <c r="I11" i="1"/>
  <c r="I10" i="1"/>
  <c r="D10" i="1"/>
  <c r="D6" i="1"/>
  <c r="D5" i="1"/>
  <c r="D4" i="1"/>
  <c r="D11" i="18" l="1"/>
  <c r="D37" i="18"/>
  <c r="D34" i="18"/>
  <c r="D26" i="18"/>
  <c r="D43" i="18"/>
  <c r="D18" i="18"/>
  <c r="D15" i="18"/>
  <c r="D36" i="18"/>
  <c r="D9" i="18"/>
  <c r="D39" i="18"/>
  <c r="D30" i="18"/>
  <c r="D13" i="18"/>
  <c r="D33" i="18"/>
  <c r="D8" i="18"/>
  <c r="D29" i="18"/>
  <c r="D7" i="18"/>
  <c r="D27" i="18"/>
  <c r="D19" i="18"/>
  <c r="D25" i="18"/>
  <c r="D42" i="18"/>
  <c r="D14" i="18"/>
  <c r="D32" i="18"/>
  <c r="D38" i="18"/>
  <c r="D31" i="18"/>
  <c r="D17" i="18"/>
  <c r="D41" i="18"/>
  <c r="D12" i="18"/>
  <c r="D6" i="18"/>
  <c r="D2" i="18"/>
  <c r="D3" i="18"/>
  <c r="D24" i="18"/>
  <c r="D21" i="18"/>
  <c r="D5" i="18"/>
  <c r="D4" i="18"/>
  <c r="D10" i="18"/>
  <c r="D28" i="18"/>
  <c r="D22" i="18"/>
  <c r="D40" i="18"/>
  <c r="D20" i="18"/>
  <c r="D23" i="18"/>
  <c r="D16" i="18"/>
  <c r="D35" i="18"/>
  <c r="D33" i="21"/>
  <c r="E33" i="21" s="1"/>
  <c r="I4" i="1"/>
  <c r="I16" i="1"/>
  <c r="I17" i="1"/>
  <c r="I5" i="1"/>
  <c r="I12" i="1"/>
  <c r="I24" i="1"/>
  <c r="I6" i="1"/>
  <c r="I18" i="1"/>
  <c r="I22" i="1"/>
  <c r="D44" i="18" l="1"/>
  <c r="D34" i="21"/>
  <c r="E34" i="21" s="1"/>
  <c r="N18" i="1"/>
  <c r="N16" i="1"/>
  <c r="N17" i="1"/>
  <c r="N6" i="1"/>
  <c r="N4" i="1"/>
  <c r="N5" i="1"/>
  <c r="N23" i="1"/>
  <c r="N24" i="1"/>
  <c r="N22" i="1"/>
  <c r="N11" i="1"/>
  <c r="N12" i="1"/>
  <c r="N10" i="1"/>
  <c r="D35" i="21" l="1"/>
  <c r="E35" i="21" s="1"/>
  <c r="S11" i="1"/>
  <c r="S10" i="1"/>
  <c r="S12" i="1"/>
  <c r="S23" i="1"/>
  <c r="S22" i="1"/>
  <c r="S24" i="1"/>
  <c r="S6" i="1"/>
  <c r="S5" i="1"/>
  <c r="S4" i="1"/>
  <c r="S18" i="1"/>
  <c r="S17" i="1"/>
  <c r="S16" i="1"/>
  <c r="H4" i="5"/>
  <c r="H5" i="5"/>
  <c r="P5" i="5"/>
  <c r="H11" i="5"/>
  <c r="P11" i="5"/>
  <c r="H17" i="5"/>
  <c r="H18" i="5"/>
  <c r="H16" i="5"/>
  <c r="P18" i="5"/>
  <c r="P16" i="5"/>
  <c r="P17" i="5"/>
  <c r="H23" i="5"/>
  <c r="H22" i="5"/>
  <c r="P23" i="5"/>
  <c r="D23" i="5"/>
  <c r="D24" i="5"/>
  <c r="D22" i="5"/>
  <c r="D17" i="5"/>
  <c r="D18" i="5"/>
  <c r="D11" i="5"/>
  <c r="D5" i="5"/>
  <c r="L5" i="5"/>
  <c r="L4" i="5"/>
  <c r="L11" i="5"/>
  <c r="L10" i="5"/>
  <c r="L17" i="5"/>
  <c r="L16" i="5"/>
  <c r="L23" i="5"/>
  <c r="L24" i="5"/>
  <c r="H6" i="5"/>
  <c r="P6" i="5"/>
  <c r="P4" i="5"/>
  <c r="H10" i="5"/>
  <c r="H12" i="5"/>
  <c r="P10" i="5"/>
  <c r="P12" i="5"/>
  <c r="H24" i="5"/>
  <c r="P24" i="5"/>
  <c r="P22" i="5"/>
  <c r="D16" i="5"/>
  <c r="D12" i="5"/>
  <c r="D10" i="5"/>
  <c r="D6" i="5"/>
  <c r="D4" i="5"/>
  <c r="L6" i="5"/>
  <c r="L12" i="5"/>
  <c r="L18" i="5"/>
  <c r="L22" i="5"/>
  <c r="D36" i="21" l="1"/>
  <c r="E36" i="21" s="1"/>
  <c r="D37" i="21" l="1"/>
  <c r="E37" i="21" s="1"/>
  <c r="D38" i="21" l="1"/>
  <c r="E38" i="21" s="1"/>
  <c r="D39" i="21" l="1"/>
  <c r="E39" i="21" s="1"/>
  <c r="D40" i="21" l="1"/>
  <c r="E40" i="21" s="1"/>
  <c r="D41" i="21" l="1"/>
  <c r="E41" i="21" s="1"/>
  <c r="D42" i="21" l="1"/>
  <c r="E42" i="21" s="1"/>
  <c r="B46" i="18" l="1"/>
  <c r="B7" i="16"/>
  <c r="B8" i="16" s="1"/>
  <c r="E43" i="18" l="1"/>
  <c r="E39" i="18"/>
  <c r="E35" i="18"/>
  <c r="E31" i="18"/>
  <c r="E27" i="18"/>
  <c r="E23" i="18"/>
  <c r="E19" i="18"/>
  <c r="E15" i="18"/>
  <c r="E11" i="18"/>
  <c r="E7" i="18"/>
  <c r="E3" i="18"/>
  <c r="E42" i="18"/>
  <c r="E38" i="18"/>
  <c r="E34" i="18"/>
  <c r="E30" i="18"/>
  <c r="E26" i="18"/>
  <c r="E22" i="18"/>
  <c r="E18" i="18"/>
  <c r="E14" i="18"/>
  <c r="E10" i="18"/>
  <c r="E6" i="18"/>
  <c r="E2" i="18"/>
  <c r="E40" i="18"/>
  <c r="E32" i="18"/>
  <c r="E28" i="18"/>
  <c r="E24" i="18"/>
  <c r="E20" i="18"/>
  <c r="E16" i="18"/>
  <c r="E12" i="18"/>
  <c r="E8" i="18"/>
  <c r="E4" i="18"/>
  <c r="E41" i="18"/>
  <c r="E37" i="18"/>
  <c r="E33" i="18"/>
  <c r="E29" i="18"/>
  <c r="E25" i="18"/>
  <c r="E21" i="18"/>
  <c r="E17" i="18"/>
  <c r="E13" i="18"/>
  <c r="E9" i="18"/>
  <c r="E5" i="18"/>
  <c r="E36" i="18"/>
  <c r="F7" i="13"/>
  <c r="G2" i="13" s="1"/>
  <c r="E44" i="18" l="1"/>
  <c r="F17" i="13"/>
  <c r="D2" i="13"/>
  <c r="D6" i="13" s="1"/>
  <c r="G3" i="13"/>
  <c r="G12" i="13" l="1"/>
  <c r="F27" i="13"/>
  <c r="D3" i="13"/>
  <c r="D7" i="13" s="1"/>
  <c r="G4" i="13"/>
  <c r="G22" i="13" l="1"/>
  <c r="F37" i="13"/>
  <c r="D12" i="13"/>
  <c r="D16" i="13" s="1"/>
  <c r="G13" i="13"/>
  <c r="D4" i="13"/>
  <c r="D8" i="13" s="1"/>
  <c r="G5" i="13"/>
  <c r="D5" i="13" s="1"/>
  <c r="D9" i="13" s="1"/>
  <c r="D13" i="13" l="1"/>
  <c r="D17" i="13" s="1"/>
  <c r="G14" i="13"/>
  <c r="F47" i="13"/>
  <c r="G32" i="13"/>
  <c r="D22" i="13"/>
  <c r="D26" i="13" s="1"/>
  <c r="G23" i="13"/>
  <c r="D32" i="13" l="1"/>
  <c r="D36" i="13" s="1"/>
  <c r="G33" i="13"/>
  <c r="F57" i="13"/>
  <c r="G42" i="13"/>
  <c r="D23" i="13"/>
  <c r="D27" i="13" s="1"/>
  <c r="G24" i="13"/>
  <c r="G15" i="13"/>
  <c r="D15" i="13" s="1"/>
  <c r="D19" i="13" s="1"/>
  <c r="D14" i="13"/>
  <c r="D18" i="13" s="1"/>
  <c r="D42" i="13" l="1"/>
  <c r="D46" i="13" s="1"/>
  <c r="G43" i="13"/>
  <c r="F67" i="13"/>
  <c r="G52" i="13"/>
  <c r="D24" i="13"/>
  <c r="D28" i="13" s="1"/>
  <c r="G25" i="13"/>
  <c r="D25" i="13" s="1"/>
  <c r="D29" i="13" s="1"/>
  <c r="G34" i="13"/>
  <c r="D33" i="13"/>
  <c r="D37" i="13" s="1"/>
  <c r="G53" i="13" l="1"/>
  <c r="D52" i="13"/>
  <c r="D56" i="13" s="1"/>
  <c r="D34" i="13"/>
  <c r="D38" i="13" s="1"/>
  <c r="G35" i="13"/>
  <c r="D35" i="13" s="1"/>
  <c r="D39" i="13" s="1"/>
  <c r="F77" i="13"/>
  <c r="G62" i="13"/>
  <c r="D43" i="13"/>
  <c r="D47" i="13" s="1"/>
  <c r="G44" i="13"/>
  <c r="G45" i="13" l="1"/>
  <c r="D45" i="13" s="1"/>
  <c r="D49" i="13" s="1"/>
  <c r="D44" i="13"/>
  <c r="D48" i="13" s="1"/>
  <c r="G63" i="13"/>
  <c r="D62" i="13"/>
  <c r="D66" i="13" s="1"/>
  <c r="F87" i="13"/>
  <c r="G72" i="13"/>
  <c r="D53" i="13"/>
  <c r="D57" i="13" s="1"/>
  <c r="G54" i="13"/>
  <c r="D54" i="13" l="1"/>
  <c r="D58" i="13" s="1"/>
  <c r="G55" i="13"/>
  <c r="D55" i="13" s="1"/>
  <c r="D59" i="13" s="1"/>
  <c r="G64" i="13"/>
  <c r="D63" i="13"/>
  <c r="D67" i="13" s="1"/>
  <c r="G73" i="13"/>
  <c r="D72" i="13"/>
  <c r="D76" i="13" s="1"/>
  <c r="G82" i="13"/>
  <c r="F97" i="13"/>
  <c r="G92" i="13" l="1"/>
  <c r="F177" i="13"/>
  <c r="D82" i="13"/>
  <c r="D86" i="13" s="1"/>
  <c r="G83" i="13"/>
  <c r="G65" i="13"/>
  <c r="D65" i="13" s="1"/>
  <c r="D69" i="13" s="1"/>
  <c r="D64" i="13"/>
  <c r="D68" i="13" s="1"/>
  <c r="D73" i="13"/>
  <c r="D77" i="13" s="1"/>
  <c r="G74" i="13"/>
  <c r="D74" i="13" l="1"/>
  <c r="D78" i="13" s="1"/>
  <c r="G75" i="13"/>
  <c r="D75" i="13" s="1"/>
  <c r="D79" i="13" s="1"/>
  <c r="G84" i="13"/>
  <c r="D83" i="13"/>
  <c r="D87" i="13" s="1"/>
  <c r="G172" i="13"/>
  <c r="F417" i="13"/>
  <c r="G93" i="13"/>
  <c r="D92" i="13"/>
  <c r="D96" i="13" s="1"/>
  <c r="G173" i="13" l="1"/>
  <c r="D172" i="13"/>
  <c r="D176" i="13" s="1"/>
  <c r="G94" i="13"/>
  <c r="D93" i="13"/>
  <c r="D97" i="13" s="1"/>
  <c r="G85" i="13"/>
  <c r="D85" i="13" s="1"/>
  <c r="D89" i="13" s="1"/>
  <c r="D84" i="13"/>
  <c r="D88" i="13" s="1"/>
  <c r="F107" i="13"/>
  <c r="G412" i="13"/>
  <c r="F117" i="13" l="1"/>
  <c r="G102" i="13"/>
  <c r="D94" i="13"/>
  <c r="D98" i="13" s="1"/>
  <c r="G95" i="13"/>
  <c r="D95" i="13" s="1"/>
  <c r="D99" i="13" s="1"/>
  <c r="D173" i="13"/>
  <c r="D177" i="13" s="1"/>
  <c r="G174" i="13"/>
  <c r="D412" i="13"/>
  <c r="D416" i="13" s="1"/>
  <c r="G413" i="13"/>
  <c r="G175" i="13" l="1"/>
  <c r="D175" i="13" s="1"/>
  <c r="D179" i="13" s="1"/>
  <c r="D174" i="13"/>
  <c r="D178" i="13" s="1"/>
  <c r="D102" i="13"/>
  <c r="D106" i="13" s="1"/>
  <c r="G103" i="13"/>
  <c r="G112" i="13"/>
  <c r="F127" i="13"/>
  <c r="D413" i="13"/>
  <c r="D417" i="13" s="1"/>
  <c r="G414" i="13"/>
  <c r="G122" i="13" l="1"/>
  <c r="F137" i="13"/>
  <c r="D112" i="13"/>
  <c r="D116" i="13" s="1"/>
  <c r="G113" i="13"/>
  <c r="G415" i="13"/>
  <c r="D415" i="13" s="1"/>
  <c r="D419" i="13" s="1"/>
  <c r="D414" i="13"/>
  <c r="D418" i="13" s="1"/>
  <c r="D103" i="13"/>
  <c r="D107" i="13" s="1"/>
  <c r="G104" i="13"/>
  <c r="F147" i="13" l="1"/>
  <c r="G132" i="13"/>
  <c r="D122" i="13"/>
  <c r="D126" i="13" s="1"/>
  <c r="G123" i="13"/>
  <c r="D104" i="13"/>
  <c r="D108" i="13" s="1"/>
  <c r="G105" i="13"/>
  <c r="D105" i="13" s="1"/>
  <c r="D109" i="13" s="1"/>
  <c r="G114" i="13"/>
  <c r="D113" i="13"/>
  <c r="D117" i="13" s="1"/>
  <c r="D114" i="13" l="1"/>
  <c r="D118" i="13" s="1"/>
  <c r="G115" i="13"/>
  <c r="D115" i="13" s="1"/>
  <c r="D119" i="13" s="1"/>
  <c r="G133" i="13"/>
  <c r="D132" i="13"/>
  <c r="D136" i="13" s="1"/>
  <c r="F157" i="13"/>
  <c r="G142" i="13"/>
  <c r="D123" i="13"/>
  <c r="D127" i="13" s="1"/>
  <c r="G124" i="13"/>
  <c r="D133" i="13" l="1"/>
  <c r="D137" i="13" s="1"/>
  <c r="G134" i="13"/>
  <c r="D142" i="13"/>
  <c r="D146" i="13" s="1"/>
  <c r="G143" i="13"/>
  <c r="G152" i="13"/>
  <c r="F167" i="13"/>
  <c r="G125" i="13"/>
  <c r="D125" i="13" s="1"/>
  <c r="D129" i="13" s="1"/>
  <c r="D124" i="13"/>
  <c r="D128" i="13" s="1"/>
  <c r="F187" i="13" l="1"/>
  <c r="G162" i="13"/>
  <c r="D134" i="13"/>
  <c r="D138" i="13" s="1"/>
  <c r="G135" i="13"/>
  <c r="D135" i="13" s="1"/>
  <c r="D139" i="13" s="1"/>
  <c r="G153" i="13"/>
  <c r="D152" i="13"/>
  <c r="D156" i="13" s="1"/>
  <c r="D143" i="13"/>
  <c r="D147" i="13" s="1"/>
  <c r="G144" i="13"/>
  <c r="D162" i="13" l="1"/>
  <c r="D166" i="13" s="1"/>
  <c r="G163" i="13"/>
  <c r="D153" i="13"/>
  <c r="D157" i="13" s="1"/>
  <c r="G154" i="13"/>
  <c r="G182" i="13"/>
  <c r="F197" i="13"/>
  <c r="D144" i="13"/>
  <c r="D148" i="13" s="1"/>
  <c r="G145" i="13"/>
  <c r="D145" i="13" s="1"/>
  <c r="D149" i="13" s="1"/>
  <c r="F207" i="13" l="1"/>
  <c r="G192" i="13"/>
  <c r="G164" i="13"/>
  <c r="D163" i="13"/>
  <c r="D167" i="13" s="1"/>
  <c r="G183" i="13"/>
  <c r="D182" i="13"/>
  <c r="D186" i="13" s="1"/>
  <c r="D154" i="13"/>
  <c r="D158" i="13" s="1"/>
  <c r="G155" i="13"/>
  <c r="D155" i="13" s="1"/>
  <c r="D159" i="13" s="1"/>
  <c r="G165" i="13" l="1"/>
  <c r="D165" i="13" s="1"/>
  <c r="D169" i="13" s="1"/>
  <c r="D164" i="13"/>
  <c r="D168" i="13" s="1"/>
  <c r="G193" i="13"/>
  <c r="D192" i="13"/>
  <c r="D196" i="13" s="1"/>
  <c r="D183" i="13"/>
  <c r="D187" i="13" s="1"/>
  <c r="G184" i="13"/>
  <c r="F217" i="13"/>
  <c r="G202" i="13"/>
  <c r="G212" i="13" l="1"/>
  <c r="F227" i="13"/>
  <c r="D193" i="13"/>
  <c r="D197" i="13" s="1"/>
  <c r="G194" i="13"/>
  <c r="D184" i="13"/>
  <c r="D188" i="13" s="1"/>
  <c r="G185" i="13"/>
  <c r="D185" i="13" s="1"/>
  <c r="D189" i="13" s="1"/>
  <c r="G203" i="13"/>
  <c r="D202" i="13"/>
  <c r="D206" i="13" s="1"/>
  <c r="G204" i="13" l="1"/>
  <c r="D203" i="13"/>
  <c r="D207" i="13" s="1"/>
  <c r="F237" i="13"/>
  <c r="G222" i="13"/>
  <c r="G213" i="13"/>
  <c r="D212" i="13"/>
  <c r="D216" i="13" s="1"/>
  <c r="D194" i="13"/>
  <c r="D198" i="13" s="1"/>
  <c r="G195" i="13"/>
  <c r="D195" i="13" s="1"/>
  <c r="D199" i="13" s="1"/>
  <c r="F247" i="13" l="1"/>
  <c r="G232" i="13"/>
  <c r="G214" i="13"/>
  <c r="D213" i="13"/>
  <c r="D217" i="13" s="1"/>
  <c r="D204" i="13"/>
  <c r="D208" i="13" s="1"/>
  <c r="G205" i="13"/>
  <c r="D205" i="13" s="1"/>
  <c r="D209" i="13" s="1"/>
  <c r="D222" i="13"/>
  <c r="D226" i="13" s="1"/>
  <c r="G223" i="13"/>
  <c r="G215" i="13" l="1"/>
  <c r="D215" i="13" s="1"/>
  <c r="D219" i="13" s="1"/>
  <c r="D214" i="13"/>
  <c r="D218" i="13" s="1"/>
  <c r="G233" i="13"/>
  <c r="D232" i="13"/>
  <c r="D236" i="13" s="1"/>
  <c r="G242" i="13"/>
  <c r="F257" i="13"/>
  <c r="D223" i="13"/>
  <c r="D227" i="13" s="1"/>
  <c r="G224" i="13"/>
  <c r="G234" i="13" l="1"/>
  <c r="D233" i="13"/>
  <c r="D237" i="13" s="1"/>
  <c r="F267" i="13"/>
  <c r="G252" i="13"/>
  <c r="G243" i="13"/>
  <c r="D242" i="13"/>
  <c r="D246" i="13" s="1"/>
  <c r="G225" i="13"/>
  <c r="D225" i="13" s="1"/>
  <c r="D229" i="13" s="1"/>
  <c r="D224" i="13"/>
  <c r="D228" i="13" s="1"/>
  <c r="F277" i="13" l="1"/>
  <c r="G262" i="13"/>
  <c r="D243" i="13"/>
  <c r="D247" i="13" s="1"/>
  <c r="G244" i="13"/>
  <c r="G235" i="13"/>
  <c r="D235" i="13" s="1"/>
  <c r="D239" i="13" s="1"/>
  <c r="D234" i="13"/>
  <c r="D238" i="13" s="1"/>
  <c r="D252" i="13"/>
  <c r="D256" i="13" s="1"/>
  <c r="G253" i="13"/>
  <c r="D262" i="13" l="1"/>
  <c r="D266" i="13" s="1"/>
  <c r="G263" i="13"/>
  <c r="F287" i="13"/>
  <c r="G272" i="13"/>
  <c r="D253" i="13"/>
  <c r="D257" i="13" s="1"/>
  <c r="G254" i="13"/>
  <c r="D244" i="13"/>
  <c r="D248" i="13" s="1"/>
  <c r="G245" i="13"/>
  <c r="D245" i="13" s="1"/>
  <c r="D249" i="13" s="1"/>
  <c r="G282" i="13" l="1"/>
  <c r="F297" i="13"/>
  <c r="D254" i="13"/>
  <c r="D258" i="13" s="1"/>
  <c r="G255" i="13"/>
  <c r="D255" i="13" s="1"/>
  <c r="D259" i="13" s="1"/>
  <c r="D263" i="13"/>
  <c r="D267" i="13" s="1"/>
  <c r="G264" i="13"/>
  <c r="G273" i="13"/>
  <c r="D272" i="13"/>
  <c r="D276" i="13" s="1"/>
  <c r="D273" i="13" l="1"/>
  <c r="D277" i="13" s="1"/>
  <c r="G274" i="13"/>
  <c r="G265" i="13"/>
  <c r="D265" i="13" s="1"/>
  <c r="D269" i="13" s="1"/>
  <c r="D264" i="13"/>
  <c r="D268" i="13" s="1"/>
  <c r="G292" i="13"/>
  <c r="F307" i="13"/>
  <c r="D282" i="13"/>
  <c r="D286" i="13" s="1"/>
  <c r="G283" i="13"/>
  <c r="G302" i="13" l="1"/>
  <c r="F317" i="13"/>
  <c r="D274" i="13"/>
  <c r="D278" i="13" s="1"/>
  <c r="G275" i="13"/>
  <c r="D275" i="13" s="1"/>
  <c r="D279" i="13" s="1"/>
  <c r="D292" i="13"/>
  <c r="D296" i="13" s="1"/>
  <c r="G293" i="13"/>
  <c r="D283" i="13"/>
  <c r="D287" i="13" s="1"/>
  <c r="G284" i="13"/>
  <c r="G294" i="13" l="1"/>
  <c r="D293" i="13"/>
  <c r="D297" i="13" s="1"/>
  <c r="G312" i="13"/>
  <c r="F327" i="13"/>
  <c r="G303" i="13"/>
  <c r="D302" i="13"/>
  <c r="D306" i="13" s="1"/>
  <c r="D284" i="13"/>
  <c r="D288" i="13" s="1"/>
  <c r="G285" i="13"/>
  <c r="D285" i="13" s="1"/>
  <c r="D289" i="13" s="1"/>
  <c r="D312" i="13" l="1"/>
  <c r="D316" i="13" s="1"/>
  <c r="G313" i="13"/>
  <c r="D303" i="13"/>
  <c r="D307" i="13" s="1"/>
  <c r="G304" i="13"/>
  <c r="D294" i="13"/>
  <c r="D298" i="13" s="1"/>
  <c r="G295" i="13"/>
  <c r="D295" i="13" s="1"/>
  <c r="D299" i="13" s="1"/>
  <c r="F337" i="13"/>
  <c r="G322" i="13"/>
  <c r="G332" i="13" l="1"/>
  <c r="F347" i="13"/>
  <c r="D313" i="13"/>
  <c r="D317" i="13" s="1"/>
  <c r="G314" i="13"/>
  <c r="D322" i="13"/>
  <c r="D326" i="13" s="1"/>
  <c r="G323" i="13"/>
  <c r="G305" i="13"/>
  <c r="D305" i="13" s="1"/>
  <c r="D309" i="13" s="1"/>
  <c r="D304" i="13"/>
  <c r="D308" i="13" s="1"/>
  <c r="D323" i="13" l="1"/>
  <c r="D327" i="13" s="1"/>
  <c r="G324" i="13"/>
  <c r="G342" i="13"/>
  <c r="F357" i="13"/>
  <c r="D332" i="13"/>
  <c r="D336" i="13" s="1"/>
  <c r="G333" i="13"/>
  <c r="G315" i="13"/>
  <c r="D315" i="13" s="1"/>
  <c r="D319" i="13" s="1"/>
  <c r="D314" i="13"/>
  <c r="D318" i="13" s="1"/>
  <c r="G343" i="13" l="1"/>
  <c r="D342" i="13"/>
  <c r="D346" i="13" s="1"/>
  <c r="G334" i="13"/>
  <c r="D333" i="13"/>
  <c r="D337" i="13" s="1"/>
  <c r="D324" i="13"/>
  <c r="D328" i="13" s="1"/>
  <c r="G325" i="13"/>
  <c r="D325" i="13" s="1"/>
  <c r="D329" i="13" s="1"/>
  <c r="F367" i="13"/>
  <c r="G352" i="13"/>
  <c r="G362" i="13" l="1"/>
  <c r="F377" i="13"/>
  <c r="G335" i="13"/>
  <c r="D335" i="13" s="1"/>
  <c r="D339" i="13" s="1"/>
  <c r="D334" i="13"/>
  <c r="D338" i="13" s="1"/>
  <c r="G344" i="13"/>
  <c r="D343" i="13"/>
  <c r="D347" i="13" s="1"/>
  <c r="D352" i="13"/>
  <c r="D356" i="13" s="1"/>
  <c r="G353" i="13"/>
  <c r="F387" i="13" l="1"/>
  <c r="G372" i="13"/>
  <c r="G345" i="13"/>
  <c r="D345" i="13" s="1"/>
  <c r="D349" i="13" s="1"/>
  <c r="D344" i="13"/>
  <c r="D348" i="13" s="1"/>
  <c r="G363" i="13"/>
  <c r="D362" i="13"/>
  <c r="D366" i="13" s="1"/>
  <c r="G354" i="13"/>
  <c r="D353" i="13"/>
  <c r="D357" i="13" s="1"/>
  <c r="D354" i="13" l="1"/>
  <c r="D358" i="13" s="1"/>
  <c r="G355" i="13"/>
  <c r="D355" i="13" s="1"/>
  <c r="D359" i="13" s="1"/>
  <c r="D372" i="13"/>
  <c r="D376" i="13" s="1"/>
  <c r="G373" i="13"/>
  <c r="D363" i="13"/>
  <c r="D367" i="13" s="1"/>
  <c r="G364" i="13"/>
  <c r="F397" i="13"/>
  <c r="G382" i="13"/>
  <c r="G392" i="13" l="1"/>
  <c r="F407" i="13"/>
  <c r="G402" i="13" s="1"/>
  <c r="D364" i="13"/>
  <c r="D368" i="13" s="1"/>
  <c r="G365" i="13"/>
  <c r="D365" i="13" s="1"/>
  <c r="D369" i="13" s="1"/>
  <c r="D382" i="13"/>
  <c r="D386" i="13" s="1"/>
  <c r="G383" i="13"/>
  <c r="D373" i="13"/>
  <c r="D377" i="13" s="1"/>
  <c r="G374" i="13"/>
  <c r="D383" i="13" l="1"/>
  <c r="D387" i="13" s="1"/>
  <c r="G384" i="13"/>
  <c r="D402" i="13"/>
  <c r="D406" i="13" s="1"/>
  <c r="G403" i="13"/>
  <c r="D392" i="13"/>
  <c r="D396" i="13" s="1"/>
  <c r="G393" i="13"/>
  <c r="D374" i="13"/>
  <c r="D378" i="13" s="1"/>
  <c r="G375" i="13"/>
  <c r="D375" i="13" s="1"/>
  <c r="D379" i="13" s="1"/>
  <c r="D393" i="13" l="1"/>
  <c r="D397" i="13" s="1"/>
  <c r="G394" i="13"/>
  <c r="G385" i="13"/>
  <c r="D385" i="13" s="1"/>
  <c r="D389" i="13" s="1"/>
  <c r="D384" i="13"/>
  <c r="D388" i="13" s="1"/>
  <c r="D403" i="13"/>
  <c r="D407" i="13" s="1"/>
  <c r="G404" i="13"/>
  <c r="D404" i="13" l="1"/>
  <c r="D408" i="13" s="1"/>
  <c r="G405" i="13"/>
  <c r="D405" i="13" s="1"/>
  <c r="D409" i="13" s="1"/>
  <c r="D394" i="13"/>
  <c r="D398" i="13" s="1"/>
  <c r="G395" i="13"/>
  <c r="D395" i="13" s="1"/>
  <c r="D399" i="13" s="1"/>
  <c r="J24" i="8"/>
  <c r="N18" i="8"/>
  <c r="A44" i="22" s="1"/>
  <c r="H45" i="22" s="1"/>
  <c r="N16" i="8"/>
  <c r="N24" i="8" s="1"/>
</calcChain>
</file>

<file path=xl/sharedStrings.xml><?xml version="1.0" encoding="utf-8"?>
<sst xmlns="http://schemas.openxmlformats.org/spreadsheetml/2006/main" count="667" uniqueCount="125">
  <si>
    <t>0-75%</t>
  </si>
  <si>
    <t>-</t>
  </si>
  <si>
    <t>76-100%</t>
  </si>
  <si>
    <t>101-125%</t>
  </si>
  <si>
    <t>126-150%</t>
  </si>
  <si>
    <t>Akiachak</t>
  </si>
  <si>
    <t>Akiak</t>
  </si>
  <si>
    <t>Alakanuk</t>
  </si>
  <si>
    <t>Atmautluak</t>
  </si>
  <si>
    <t>Chefornak</t>
  </si>
  <si>
    <t>Chevak</t>
  </si>
  <si>
    <t>Eek</t>
  </si>
  <si>
    <t>Emmonak</t>
  </si>
  <si>
    <t>Goodnews Bay</t>
  </si>
  <si>
    <t>Hooper Bay</t>
  </si>
  <si>
    <t>Kasigluk</t>
  </si>
  <si>
    <t>Kipnuk</t>
  </si>
  <si>
    <t>Kongiganak</t>
  </si>
  <si>
    <t>Kotlik</t>
  </si>
  <si>
    <t>Kwethluk</t>
  </si>
  <si>
    <t>Kwigillingok</t>
  </si>
  <si>
    <t>Marshall</t>
  </si>
  <si>
    <t>Mekoryuk</t>
  </si>
  <si>
    <t>Mountain Village</t>
  </si>
  <si>
    <t>Napakiak</t>
  </si>
  <si>
    <t>Napaskiak</t>
  </si>
  <si>
    <t>Newtok</t>
  </si>
  <si>
    <t>Nightmute</t>
  </si>
  <si>
    <t>Nunam Iqua</t>
  </si>
  <si>
    <t>Nunapitchuk</t>
  </si>
  <si>
    <t>Oscarville</t>
  </si>
  <si>
    <t>Pilot Station</t>
  </si>
  <si>
    <t>Pitka's Point</t>
  </si>
  <si>
    <t>Platinum</t>
  </si>
  <si>
    <t>Quinhagak</t>
  </si>
  <si>
    <t>Scammon Bay</t>
  </si>
  <si>
    <t>Saint Mary's</t>
  </si>
  <si>
    <t>Toksook Bay</t>
  </si>
  <si>
    <t>Tuluksak</t>
  </si>
  <si>
    <t>Tuntutuliak</t>
  </si>
  <si>
    <t>Tununak</t>
  </si>
  <si>
    <t>Heating Assistance</t>
  </si>
  <si>
    <t>Crisis</t>
  </si>
  <si>
    <t>Weatherization</t>
  </si>
  <si>
    <t>Indirect</t>
  </si>
  <si>
    <t>Russian Mission</t>
  </si>
  <si>
    <t>TG/HH</t>
  </si>
  <si>
    <t>Total grant (T$)</t>
  </si>
  <si>
    <t># of household served (HH)</t>
  </si>
  <si>
    <t>Average Price of Fuel (AP)</t>
  </si>
  <si>
    <t>TG=T$/AP</t>
  </si>
  <si>
    <t>Village</t>
  </si>
  <si>
    <t>Date called</t>
  </si>
  <si>
    <t>Time</t>
  </si>
  <si>
    <t>Notes</t>
  </si>
  <si>
    <t>AVG S/O price</t>
  </si>
  <si>
    <t>Community</t>
  </si>
  <si>
    <t>Households</t>
  </si>
  <si>
    <t>Projected Budget</t>
  </si>
  <si>
    <t>Total</t>
  </si>
  <si>
    <t>Average per HH</t>
  </si>
  <si>
    <t>Population</t>
  </si>
  <si>
    <t>$ per person</t>
  </si>
  <si>
    <t>fair dist</t>
  </si>
  <si>
    <t>$ per gal.</t>
  </si>
  <si>
    <t>per gal</t>
  </si>
  <si>
    <t># of cx</t>
  </si>
  <si>
    <t xml:space="preserve">Newtok </t>
  </si>
  <si>
    <t>Slots available</t>
  </si>
  <si>
    <t>$ per gallon</t>
  </si>
  <si>
    <t>total grant amount</t>
  </si>
  <si>
    <t>Average S/O price</t>
  </si>
  <si>
    <t># of gal - St.Oil/grant</t>
  </si>
  <si>
    <t>(Av./HH) x (# of HH served)</t>
  </si>
  <si>
    <t>Travel</t>
  </si>
  <si>
    <t>Supplies</t>
  </si>
  <si>
    <t>Labor - WX</t>
  </si>
  <si>
    <t>Fringe - WX</t>
  </si>
  <si>
    <t>LIHEAP</t>
  </si>
  <si>
    <t>Allocation - Fair Dist.</t>
  </si>
  <si>
    <t>Allocation Per Village</t>
  </si>
  <si>
    <t>Labor - Main</t>
  </si>
  <si>
    <t>Fringe - Main</t>
  </si>
  <si>
    <t>households with</t>
  </si>
  <si>
    <t>6 or more members.</t>
  </si>
  <si>
    <t>Elderly, Disabled and/or</t>
  </si>
  <si>
    <t>2nd Award</t>
  </si>
  <si>
    <t>Final Award</t>
  </si>
  <si>
    <t>Red Devil</t>
  </si>
  <si>
    <t>Sleetmute</t>
  </si>
  <si>
    <t>Lime Village</t>
  </si>
  <si>
    <t>Per Diem</t>
  </si>
  <si>
    <t>Dues/Fees</t>
  </si>
  <si>
    <t>Initial Award</t>
  </si>
  <si>
    <t>PH</t>
  </si>
  <si>
    <t>CT</t>
  </si>
  <si>
    <t>Breakdown</t>
  </si>
  <si>
    <t>Assistance Payments</t>
  </si>
  <si>
    <t>Matrix Totals</t>
  </si>
  <si>
    <t>Lower Kalskag</t>
  </si>
  <si>
    <t>Upper  Kalskag</t>
  </si>
  <si>
    <t>LIHEAP Totals</t>
  </si>
  <si>
    <t>HH Size</t>
  </si>
  <si>
    <t>Annual 100%</t>
  </si>
  <si>
    <t>Annual 150%</t>
  </si>
  <si>
    <t>Monthly 100%</t>
  </si>
  <si>
    <t>Monthly 150%</t>
  </si>
  <si>
    <t>Formula for LIHEAP Payment Matrix</t>
  </si>
  <si>
    <t>LVL</t>
  </si>
  <si>
    <t>Note: Total grant amount may change as fuel prices change.</t>
  </si>
  <si>
    <t>CHAP Budget</t>
  </si>
  <si>
    <t>Level</t>
  </si>
  <si>
    <t>Stove Oil</t>
  </si>
  <si>
    <t>LIHEAP Amount</t>
  </si>
  <si>
    <t>Upper Kalskag</t>
  </si>
  <si>
    <t>FY17 LIHEAP Budget</t>
  </si>
  <si>
    <t>Carryover to FY 19</t>
  </si>
  <si>
    <t>Total FY 2018 Grant</t>
  </si>
  <si>
    <t>2018 S/O</t>
  </si>
  <si>
    <t>Admin</t>
  </si>
  <si>
    <t>2019 S/O</t>
  </si>
  <si>
    <t>Difference from 2018-2019</t>
  </si>
  <si>
    <t>Last Mod: 12/28/18</t>
  </si>
  <si>
    <t>FY18 Carryover</t>
  </si>
  <si>
    <t>For families/households with more than 20, add $5,530 (to annual) for each additional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</si>
</sst>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4" tint="-0.249977111117893"/>
      <name val="Arial"/>
      <family val="2"/>
    </font>
    <font>
      <sz val="10"/>
      <color theme="2" tint="-0.499984740745262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FF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7"/>
      <name val="Calibri"/>
      <family val="2"/>
      <scheme val="minor"/>
    </font>
    <font>
      <b/>
      <sz val="17"/>
      <color rgb="FF0000FF"/>
      <name val="Calibri"/>
      <family val="2"/>
      <scheme val="minor"/>
    </font>
    <font>
      <b/>
      <sz val="17"/>
      <color rgb="FF3F3F76"/>
      <name val="Calibri"/>
      <family val="2"/>
      <scheme val="minor"/>
    </font>
    <font>
      <sz val="17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39997558519241921"/>
        <bgColor indexed="64"/>
      </patternFill>
    </fill>
    <fill>
      <patternFill patternType="lightGray"/>
    </fill>
    <fill>
      <patternFill patternType="lightGray">
        <bgColor theme="6" tint="0.39997558519241921"/>
      </patternFill>
    </fill>
    <fill>
      <patternFill patternType="lightGray">
        <bgColor theme="1" tint="0.499984740745262"/>
      </patternFill>
    </fill>
    <fill>
      <patternFill patternType="solid">
        <fgColor theme="7"/>
      </patternFill>
    </fill>
    <fill>
      <patternFill patternType="solid">
        <fgColor rgb="FF00B050"/>
        <bgColor indexed="64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Gray">
        <bgColor theme="9" tint="0.59999389629810485"/>
      </patternFill>
    </fill>
    <fill>
      <patternFill patternType="solid">
        <fgColor theme="8"/>
        <bgColor indexed="64"/>
      </patternFill>
    </fill>
    <fill>
      <patternFill patternType="solid">
        <fgColor rgb="FFFFC7CE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4" fillId="0" borderId="0"/>
    <xf numFmtId="4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31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32" applyNumberFormat="0" applyAlignment="0" applyProtection="0"/>
    <xf numFmtId="0" fontId="17" fillId="0" borderId="33" applyNumberFormat="0" applyFill="0" applyAlignment="0" applyProtection="0"/>
    <xf numFmtId="0" fontId="18" fillId="6" borderId="32" applyNumberFormat="0" applyAlignment="0" applyProtection="0"/>
    <xf numFmtId="0" fontId="20" fillId="11" borderId="0" applyNumberFormat="0" applyBorder="0" applyAlignment="0" applyProtection="0"/>
    <xf numFmtId="0" fontId="14" fillId="0" borderId="36" applyNumberFormat="0" applyFill="0" applyAlignment="0" applyProtection="0"/>
    <xf numFmtId="0" fontId="24" fillId="13" borderId="37" applyNumberFormat="0" applyFont="0" applyAlignment="0" applyProtection="0"/>
    <xf numFmtId="0" fontId="28" fillId="19" borderId="0" applyNumberFormat="0" applyBorder="0" applyAlignment="0" applyProtection="0"/>
  </cellStyleXfs>
  <cellXfs count="263">
    <xf numFmtId="0" fontId="0" fillId="0" borderId="0" xfId="0"/>
    <xf numFmtId="0" fontId="3" fillId="2" borderId="0" xfId="0" applyFont="1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3" fillId="2" borderId="0" xfId="1" applyNumberFormat="1" applyFont="1" applyFill="1"/>
    <xf numFmtId="41" fontId="3" fillId="2" borderId="0" xfId="1" applyNumberFormat="1" applyFont="1" applyFill="1"/>
    <xf numFmtId="0" fontId="0" fillId="0" borderId="0" xfId="0" applyAlignment="1">
      <alignment horizontal="right"/>
    </xf>
    <xf numFmtId="41" fontId="3" fillId="0" borderId="0" xfId="1" applyNumberFormat="1" applyFont="1"/>
    <xf numFmtId="0" fontId="0" fillId="0" borderId="0" xfId="0" applyAlignment="1">
      <alignment horizontal="center"/>
    </xf>
    <xf numFmtId="0" fontId="4" fillId="0" borderId="0" xfId="0" applyFont="1"/>
    <xf numFmtId="42" fontId="0" fillId="0" borderId="0" xfId="2" applyNumberFormat="1" applyFont="1"/>
    <xf numFmtId="44" fontId="0" fillId="0" borderId="0" xfId="2" applyFont="1"/>
    <xf numFmtId="0" fontId="4" fillId="0" borderId="0" xfId="6"/>
    <xf numFmtId="0" fontId="6" fillId="0" borderId="0" xfId="0" applyFont="1" applyAlignment="1">
      <alignment horizontal="center" wrapText="1"/>
    </xf>
    <xf numFmtId="42" fontId="6" fillId="0" borderId="0" xfId="2" applyNumberFormat="1" applyFont="1" applyAlignment="1">
      <alignment horizontal="center" wrapText="1"/>
    </xf>
    <xf numFmtId="44" fontId="6" fillId="0" borderId="0" xfId="2" applyFont="1" applyAlignment="1">
      <alignment horizontal="center" wrapText="1"/>
    </xf>
    <xf numFmtId="165" fontId="0" fillId="0" borderId="0" xfId="2" applyNumberFormat="1" applyFont="1"/>
    <xf numFmtId="0" fontId="4" fillId="0" borderId="0" xfId="6" applyFill="1"/>
    <xf numFmtId="0" fontId="8" fillId="0" borderId="0" xfId="0" applyFont="1" applyBorder="1"/>
    <xf numFmtId="0" fontId="4" fillId="0" borderId="2" xfId="5" applyFont="1" applyBorder="1" applyProtection="1">
      <protection locked="0"/>
    </xf>
    <xf numFmtId="0" fontId="4" fillId="0" borderId="17" xfId="5" applyFont="1" applyBorder="1" applyProtection="1">
      <protection locked="0"/>
    </xf>
    <xf numFmtId="0" fontId="4" fillId="0" borderId="17" xfId="5" applyFont="1" applyBorder="1" applyAlignment="1">
      <alignment horizontal="center"/>
    </xf>
    <xf numFmtId="44" fontId="4" fillId="0" borderId="17" xfId="4" applyFont="1" applyBorder="1"/>
    <xf numFmtId="0" fontId="4" fillId="0" borderId="10" xfId="5" applyFont="1" applyBorder="1" applyProtection="1">
      <protection locked="0"/>
    </xf>
    <xf numFmtId="0" fontId="4" fillId="0" borderId="10" xfId="5" applyFont="1" applyBorder="1" applyAlignment="1">
      <alignment horizontal="center"/>
    </xf>
    <xf numFmtId="44" fontId="4" fillId="0" borderId="10" xfId="4" applyFont="1" applyBorder="1"/>
    <xf numFmtId="0" fontId="9" fillId="0" borderId="10" xfId="0" applyFont="1" applyBorder="1" applyAlignment="1">
      <alignment horizontal="center"/>
    </xf>
    <xf numFmtId="44" fontId="9" fillId="0" borderId="10" xfId="4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44" fontId="10" fillId="0" borderId="0" xfId="4" applyFont="1" applyBorder="1"/>
    <xf numFmtId="8" fontId="9" fillId="0" borderId="19" xfId="2" applyNumberFormat="1" applyFont="1" applyFill="1" applyBorder="1" applyAlignment="1">
      <alignment horizontal="center" wrapText="1"/>
    </xf>
    <xf numFmtId="8" fontId="9" fillId="0" borderId="19" xfId="2" applyNumberFormat="1" applyFont="1" applyFill="1" applyBorder="1" applyAlignment="1">
      <alignment horizontal="center"/>
    </xf>
    <xf numFmtId="8" fontId="4" fillId="0" borderId="19" xfId="2" applyNumberFormat="1" applyFont="1" applyFill="1" applyBorder="1" applyAlignment="1">
      <alignment horizontal="center"/>
    </xf>
    <xf numFmtId="8" fontId="9" fillId="0" borderId="19" xfId="2" applyNumberFormat="1" applyFont="1" applyFill="1" applyBorder="1"/>
    <xf numFmtId="8" fontId="0" fillId="0" borderId="19" xfId="2" applyNumberFormat="1" applyFont="1" applyFill="1" applyBorder="1"/>
    <xf numFmtId="8" fontId="0" fillId="0" borderId="0" xfId="2" applyNumberFormat="1" applyFont="1" applyAlignment="1"/>
    <xf numFmtId="8" fontId="0" fillId="0" borderId="0" xfId="2" applyNumberFormat="1" applyFont="1"/>
    <xf numFmtId="44" fontId="0" fillId="0" borderId="0" xfId="1" applyFont="1"/>
    <xf numFmtId="44" fontId="7" fillId="0" borderId="0" xfId="1" applyFont="1"/>
    <xf numFmtId="0" fontId="0" fillId="0" borderId="0" xfId="0" applyAlignment="1">
      <alignment horizontal="center" wrapText="1"/>
    </xf>
    <xf numFmtId="0" fontId="9" fillId="0" borderId="19" xfId="6" applyFont="1" applyFill="1" applyBorder="1" applyAlignment="1">
      <alignment horizontal="left"/>
    </xf>
    <xf numFmtId="0" fontId="9" fillId="0" borderId="19" xfId="6" applyFont="1" applyFill="1" applyBorder="1" applyAlignment="1">
      <alignment horizontal="center"/>
    </xf>
    <xf numFmtId="1" fontId="9" fillId="0" borderId="19" xfId="6" applyNumberFormat="1" applyFont="1" applyFill="1" applyBorder="1" applyAlignment="1">
      <alignment horizontal="center"/>
    </xf>
    <xf numFmtId="0" fontId="4" fillId="0" borderId="0" xfId="6" applyAlignment="1">
      <alignment horizontal="left"/>
    </xf>
    <xf numFmtId="8" fontId="4" fillId="0" borderId="0" xfId="6" applyNumberFormat="1" applyAlignment="1"/>
    <xf numFmtId="2" fontId="9" fillId="0" borderId="19" xfId="6" applyNumberFormat="1" applyFont="1" applyFill="1" applyBorder="1" applyAlignment="1">
      <alignment horizontal="center"/>
    </xf>
    <xf numFmtId="8" fontId="11" fillId="0" borderId="19" xfId="2" applyNumberFormat="1" applyFont="1" applyFill="1" applyBorder="1" applyAlignment="1"/>
    <xf numFmtId="8" fontId="4" fillId="0" borderId="19" xfId="2" applyNumberFormat="1" applyFont="1" applyFill="1" applyBorder="1"/>
    <xf numFmtId="1" fontId="12" fillId="0" borderId="19" xfId="6" applyNumberFormat="1" applyFont="1" applyFill="1" applyBorder="1" applyAlignment="1">
      <alignment horizontal="center"/>
    </xf>
    <xf numFmtId="8" fontId="12" fillId="0" borderId="19" xfId="2" applyNumberFormat="1" applyFont="1" applyFill="1" applyBorder="1" applyAlignment="1"/>
    <xf numFmtId="0" fontId="12" fillId="0" borderId="19" xfId="6" applyFont="1" applyFill="1" applyBorder="1" applyAlignment="1">
      <alignment horizontal="center"/>
    </xf>
    <xf numFmtId="0" fontId="4" fillId="0" borderId="19" xfId="6" applyFont="1" applyBorder="1"/>
    <xf numFmtId="44" fontId="7" fillId="0" borderId="19" xfId="1" applyFont="1" applyBorder="1"/>
    <xf numFmtId="44" fontId="4" fillId="0" borderId="19" xfId="1" applyFont="1" applyBorder="1"/>
    <xf numFmtId="0" fontId="4" fillId="0" borderId="19" xfId="6" applyBorder="1"/>
    <xf numFmtId="0" fontId="4" fillId="0" borderId="19" xfId="6" applyFont="1" applyFill="1" applyBorder="1"/>
    <xf numFmtId="44" fontId="7" fillId="0" borderId="19" xfId="1" applyFont="1" applyFill="1" applyBorder="1"/>
    <xf numFmtId="44" fontId="4" fillId="0" borderId="19" xfId="1" applyFont="1" applyFill="1" applyBorder="1"/>
    <xf numFmtId="0" fontId="4" fillId="0" borderId="19" xfId="6" applyFill="1" applyBorder="1"/>
    <xf numFmtId="0" fontId="7" fillId="0" borderId="23" xfId="0" applyFont="1" applyBorder="1"/>
    <xf numFmtId="44" fontId="7" fillId="0" borderId="23" xfId="0" applyNumberFormat="1" applyFont="1" applyBorder="1" applyAlignment="1">
      <alignment horizontal="center"/>
    </xf>
    <xf numFmtId="44" fontId="7" fillId="0" borderId="23" xfId="4" applyFont="1" applyBorder="1"/>
    <xf numFmtId="0" fontId="9" fillId="0" borderId="2" xfId="0" applyFont="1" applyBorder="1"/>
    <xf numFmtId="44" fontId="9" fillId="0" borderId="2" xfId="4" applyFont="1" applyBorder="1"/>
    <xf numFmtId="3" fontId="4" fillId="0" borderId="2" xfId="5" applyNumberFormat="1" applyFont="1" applyBorder="1" applyAlignment="1" applyProtection="1">
      <alignment horizontal="center"/>
    </xf>
    <xf numFmtId="44" fontId="4" fillId="0" borderId="2" xfId="4" applyFont="1" applyBorder="1" applyProtection="1"/>
    <xf numFmtId="44" fontId="9" fillId="0" borderId="2" xfId="4" applyNumberFormat="1" applyFont="1" applyBorder="1" applyAlignment="1">
      <alignment horizontal="center"/>
    </xf>
    <xf numFmtId="44" fontId="4" fillId="0" borderId="17" xfId="1" applyFont="1" applyBorder="1" applyAlignment="1">
      <alignment horizontal="center"/>
    </xf>
    <xf numFmtId="44" fontId="4" fillId="0" borderId="2" xfId="1" applyFont="1" applyBorder="1" applyAlignment="1" applyProtection="1">
      <alignment horizontal="center"/>
    </xf>
    <xf numFmtId="44" fontId="9" fillId="0" borderId="2" xfId="1" applyFont="1" applyBorder="1" applyAlignment="1">
      <alignment horizontal="center"/>
    </xf>
    <xf numFmtId="44" fontId="7" fillId="0" borderId="23" xfId="1" applyFont="1" applyBorder="1" applyAlignment="1">
      <alignment horizontal="center"/>
    </xf>
    <xf numFmtId="44" fontId="10" fillId="0" borderId="0" xfId="1" applyFont="1" applyBorder="1" applyAlignment="1">
      <alignment horizontal="center"/>
    </xf>
    <xf numFmtId="0" fontId="4" fillId="0" borderId="24" xfId="0" applyFont="1" applyBorder="1"/>
    <xf numFmtId="44" fontId="0" fillId="0" borderId="25" xfId="1" applyFont="1" applyBorder="1"/>
    <xf numFmtId="44" fontId="0" fillId="0" borderId="26" xfId="1" applyFont="1" applyBorder="1"/>
    <xf numFmtId="0" fontId="4" fillId="0" borderId="5" xfId="0" applyFont="1" applyBorder="1"/>
    <xf numFmtId="0" fontId="0" fillId="0" borderId="19" xfId="0" applyBorder="1" applyAlignment="1">
      <alignment horizontal="center"/>
    </xf>
    <xf numFmtId="44" fontId="0" fillId="0" borderId="19" xfId="1" applyFont="1" applyBorder="1"/>
    <xf numFmtId="44" fontId="0" fillId="0" borderId="27" xfId="1" applyFont="1" applyBorder="1"/>
    <xf numFmtId="0" fontId="4" fillId="0" borderId="19" xfId="0" applyFont="1" applyBorder="1" applyAlignment="1">
      <alignment horizontal="center"/>
    </xf>
    <xf numFmtId="44" fontId="4" fillId="0" borderId="27" xfId="1" applyFont="1" applyBorder="1"/>
    <xf numFmtId="0" fontId="0" fillId="0" borderId="21" xfId="0" applyBorder="1" applyAlignment="1">
      <alignment horizontal="center"/>
    </xf>
    <xf numFmtId="44" fontId="0" fillId="0" borderId="28" xfId="1" applyFont="1" applyBorder="1"/>
    <xf numFmtId="0" fontId="2" fillId="0" borderId="19" xfId="6" applyFont="1" applyBorder="1"/>
    <xf numFmtId="0" fontId="2" fillId="0" borderId="5" xfId="0" applyFont="1" applyBorder="1"/>
    <xf numFmtId="20" fontId="4" fillId="0" borderId="19" xfId="6" applyNumberFormat="1" applyFont="1" applyBorder="1"/>
    <xf numFmtId="20" fontId="4" fillId="0" borderId="19" xfId="6" applyNumberFormat="1" applyFont="1" applyFill="1" applyBorder="1"/>
    <xf numFmtId="14" fontId="4" fillId="0" borderId="19" xfId="6" applyNumberFormat="1" applyFont="1" applyBorder="1"/>
    <xf numFmtId="14" fontId="4" fillId="0" borderId="19" xfId="6" applyNumberFormat="1" applyFont="1" applyFill="1" applyBorder="1"/>
    <xf numFmtId="14" fontId="4" fillId="0" borderId="0" xfId="6" applyNumberFormat="1"/>
    <xf numFmtId="0" fontId="9" fillId="0" borderId="19" xfId="2" applyNumberFormat="1" applyFont="1" applyFill="1" applyBorder="1" applyAlignment="1">
      <alignment horizontal="center" wrapText="1"/>
    </xf>
    <xf numFmtId="8" fontId="0" fillId="0" borderId="19" xfId="2" applyNumberFormat="1" applyFont="1" applyFill="1" applyBorder="1" applyAlignment="1">
      <alignment horizontal="center" wrapText="1"/>
    </xf>
    <xf numFmtId="1" fontId="0" fillId="0" borderId="25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44" fontId="0" fillId="0" borderId="19" xfId="1" applyNumberFormat="1" applyFont="1" applyBorder="1"/>
    <xf numFmtId="44" fontId="2" fillId="3" borderId="19" xfId="2" applyNumberFormat="1" applyFont="1" applyFill="1" applyBorder="1"/>
    <xf numFmtId="44" fontId="2" fillId="7" borderId="21" xfId="0" applyNumberFormat="1" applyFont="1" applyFill="1" applyBorder="1"/>
    <xf numFmtId="44" fontId="2" fillId="7" borderId="19" xfId="0" applyNumberFormat="1" applyFont="1" applyFill="1" applyBorder="1"/>
    <xf numFmtId="0" fontId="2" fillId="0" borderId="0" xfId="6" applyFont="1" applyFill="1" applyBorder="1"/>
    <xf numFmtId="44" fontId="2" fillId="0" borderId="0" xfId="7" applyFont="1" applyFill="1" applyBorder="1"/>
    <xf numFmtId="44" fontId="2" fillId="0" borderId="0" xfId="2" applyFont="1" applyFill="1" applyBorder="1"/>
    <xf numFmtId="44" fontId="2" fillId="0" borderId="19" xfId="6" applyNumberFormat="1" applyFont="1" applyFill="1" applyBorder="1"/>
    <xf numFmtId="44" fontId="2" fillId="9" borderId="19" xfId="0" applyNumberFormat="1" applyFont="1" applyFill="1" applyBorder="1"/>
    <xf numFmtId="44" fontId="2" fillId="10" borderId="19" xfId="2" applyNumberFormat="1" applyFont="1" applyFill="1" applyBorder="1"/>
    <xf numFmtId="44" fontId="2" fillId="8" borderId="19" xfId="6" applyNumberFormat="1" applyFont="1" applyFill="1" applyBorder="1"/>
    <xf numFmtId="0" fontId="3" fillId="0" borderId="19" xfId="6" applyFont="1" applyFill="1" applyBorder="1"/>
    <xf numFmtId="0" fontId="3" fillId="8" borderId="19" xfId="6" applyFont="1" applyFill="1" applyBorder="1"/>
    <xf numFmtId="0" fontId="3" fillId="0" borderId="0" xfId="6" applyFont="1" applyFill="1" applyBorder="1"/>
    <xf numFmtId="44" fontId="17" fillId="6" borderId="19" xfId="13" applyNumberFormat="1" applyFill="1" applyBorder="1"/>
    <xf numFmtId="0" fontId="17" fillId="6" borderId="19" xfId="13" applyFill="1" applyBorder="1"/>
    <xf numFmtId="0" fontId="9" fillId="0" borderId="17" xfId="0" applyFont="1" applyBorder="1" applyAlignment="1">
      <alignment horizontal="center"/>
    </xf>
    <xf numFmtId="44" fontId="9" fillId="0" borderId="17" xfId="4" applyFont="1" applyBorder="1"/>
    <xf numFmtId="0" fontId="15" fillId="4" borderId="10" xfId="11" applyBorder="1" applyProtection="1">
      <protection locked="0"/>
    </xf>
    <xf numFmtId="0" fontId="15" fillId="4" borderId="17" xfId="11" applyBorder="1" applyProtection="1">
      <protection locked="0"/>
    </xf>
    <xf numFmtId="44" fontId="17" fillId="6" borderId="27" xfId="13" applyNumberFormat="1" applyFill="1" applyBorder="1"/>
    <xf numFmtId="0" fontId="3" fillId="8" borderId="20" xfId="6" applyFont="1" applyFill="1" applyBorder="1" applyAlignment="1">
      <alignment horizontal="center"/>
    </xf>
    <xf numFmtId="44" fontId="3" fillId="3" borderId="20" xfId="7" applyFont="1" applyFill="1" applyBorder="1" applyAlignment="1">
      <alignment horizontal="center"/>
    </xf>
    <xf numFmtId="0" fontId="3" fillId="0" borderId="22" xfId="6" applyFont="1" applyFill="1" applyBorder="1"/>
    <xf numFmtId="44" fontId="2" fillId="7" borderId="22" xfId="0" applyNumberFormat="1" applyFont="1" applyFill="1" applyBorder="1"/>
    <xf numFmtId="44" fontId="2" fillId="9" borderId="22" xfId="0" applyNumberFormat="1" applyFont="1" applyFill="1" applyBorder="1"/>
    <xf numFmtId="44" fontId="2" fillId="3" borderId="22" xfId="2" applyNumberFormat="1" applyFont="1" applyFill="1" applyBorder="1"/>
    <xf numFmtId="0" fontId="3" fillId="8" borderId="25" xfId="6" applyFont="1" applyFill="1" applyBorder="1" applyAlignment="1">
      <alignment horizontal="center"/>
    </xf>
    <xf numFmtId="44" fontId="14" fillId="7" borderId="25" xfId="10" applyNumberFormat="1" applyFill="1" applyBorder="1"/>
    <xf numFmtId="44" fontId="14" fillId="9" borderId="25" xfId="10" applyNumberFormat="1" applyFill="1" applyBorder="1"/>
    <xf numFmtId="44" fontId="14" fillId="3" borderId="25" xfId="10" applyNumberFormat="1" applyFill="1" applyBorder="1"/>
    <xf numFmtId="0" fontId="14" fillId="0" borderId="29" xfId="10" applyFill="1" applyBorder="1"/>
    <xf numFmtId="0" fontId="3" fillId="0" borderId="21" xfId="6" applyFont="1" applyFill="1" applyBorder="1"/>
    <xf numFmtId="44" fontId="14" fillId="7" borderId="34" xfId="10" applyNumberFormat="1" applyFont="1" applyFill="1" applyBorder="1"/>
    <xf numFmtId="44" fontId="3" fillId="7" borderId="9" xfId="0" applyNumberFormat="1" applyFont="1" applyFill="1" applyBorder="1"/>
    <xf numFmtId="44" fontId="3" fillId="7" borderId="10" xfId="0" applyNumberFormat="1" applyFont="1" applyFill="1" applyBorder="1"/>
    <xf numFmtId="44" fontId="3" fillId="9" borderId="10" xfId="0" applyNumberFormat="1" applyFont="1" applyFill="1" applyBorder="1"/>
    <xf numFmtId="44" fontId="17" fillId="6" borderId="9" xfId="13" applyNumberFormat="1" applyFont="1" applyFill="1" applyBorder="1"/>
    <xf numFmtId="44" fontId="3" fillId="0" borderId="0" xfId="2" applyFont="1" applyFill="1" applyBorder="1"/>
    <xf numFmtId="41" fontId="16" fillId="5" borderId="32" xfId="12" applyNumberFormat="1"/>
    <xf numFmtId="44" fontId="7" fillId="0" borderId="19" xfId="1" applyNumberFormat="1" applyFont="1" applyBorder="1"/>
    <xf numFmtId="0" fontId="2" fillId="0" borderId="0" xfId="6" applyFont="1"/>
    <xf numFmtId="44" fontId="4" fillId="0" borderId="19" xfId="2" applyNumberFormat="1" applyFont="1" applyFill="1" applyBorder="1" applyAlignment="1"/>
    <xf numFmtId="44" fontId="0" fillId="0" borderId="19" xfId="2" applyNumberFormat="1" applyFont="1" applyFill="1" applyBorder="1" applyAlignment="1"/>
    <xf numFmtId="8" fontId="18" fillId="6" borderId="32" xfId="14" applyNumberFormat="1" applyAlignment="1"/>
    <xf numFmtId="44" fontId="18" fillId="6" borderId="32" xfId="14" applyNumberFormat="1" applyAlignment="1"/>
    <xf numFmtId="2" fontId="18" fillId="6" borderId="32" xfId="14" applyNumberFormat="1" applyAlignment="1">
      <alignment horizontal="center"/>
    </xf>
    <xf numFmtId="1" fontId="18" fillId="6" borderId="32" xfId="14" applyNumberFormat="1" applyAlignment="1">
      <alignment horizontal="center"/>
    </xf>
    <xf numFmtId="8" fontId="18" fillId="6" borderId="32" xfId="14" applyNumberFormat="1"/>
    <xf numFmtId="8" fontId="21" fillId="6" borderId="32" xfId="14" applyNumberFormat="1" applyFont="1" applyAlignment="1"/>
    <xf numFmtId="44" fontId="21" fillId="6" borderId="32" xfId="14" applyNumberFormat="1" applyFont="1" applyAlignment="1"/>
    <xf numFmtId="2" fontId="21" fillId="6" borderId="32" xfId="14" applyNumberFormat="1" applyFont="1" applyAlignment="1">
      <alignment horizontal="center"/>
    </xf>
    <xf numFmtId="1" fontId="21" fillId="6" borderId="32" xfId="14" applyNumberFormat="1" applyFont="1" applyAlignment="1">
      <alignment horizontal="center"/>
    </xf>
    <xf numFmtId="44" fontId="21" fillId="6" borderId="32" xfId="14" applyNumberFormat="1" applyFont="1"/>
    <xf numFmtId="8" fontId="21" fillId="6" borderId="32" xfId="14" applyNumberFormat="1" applyFont="1"/>
    <xf numFmtId="44" fontId="2" fillId="10" borderId="21" xfId="2" applyFont="1" applyFill="1" applyBorder="1"/>
    <xf numFmtId="44" fontId="2" fillId="8" borderId="30" xfId="6" applyNumberFormat="1" applyFont="1" applyFill="1" applyBorder="1"/>
    <xf numFmtId="44" fontId="2" fillId="8" borderId="22" xfId="6" applyNumberFormat="1" applyFont="1" applyFill="1" applyBorder="1"/>
    <xf numFmtId="0" fontId="14" fillId="0" borderId="36" xfId="16" applyAlignment="1" applyProtection="1">
      <alignment horizontal="center" wrapText="1"/>
      <protection locked="0"/>
    </xf>
    <xf numFmtId="3" fontId="14" fillId="0" borderId="36" xfId="16" applyNumberFormat="1" applyAlignment="1" applyProtection="1">
      <alignment horizontal="center" wrapText="1"/>
      <protection locked="0"/>
    </xf>
    <xf numFmtId="44" fontId="14" fillId="0" borderId="36" xfId="16" applyNumberFormat="1" applyAlignment="1" applyProtection="1">
      <alignment horizontal="center" wrapText="1"/>
      <protection locked="0"/>
    </xf>
    <xf numFmtId="0" fontId="14" fillId="0" borderId="36" xfId="16" applyAlignment="1">
      <alignment horizontal="center" wrapText="1"/>
    </xf>
    <xf numFmtId="0" fontId="14" fillId="0" borderId="36" xfId="16" applyAlignment="1">
      <alignment wrapText="1"/>
    </xf>
    <xf numFmtId="44" fontId="14" fillId="0" borderId="36" xfId="16" applyNumberFormat="1" applyAlignment="1">
      <alignment wrapText="1"/>
    </xf>
    <xf numFmtId="14" fontId="14" fillId="0" borderId="36" xfId="16" applyNumberFormat="1" applyAlignment="1">
      <alignment wrapText="1"/>
    </xf>
    <xf numFmtId="0" fontId="22" fillId="8" borderId="20" xfId="6" applyFont="1" applyFill="1" applyBorder="1" applyAlignment="1">
      <alignment horizontal="center"/>
    </xf>
    <xf numFmtId="0" fontId="22" fillId="8" borderId="12" xfId="6" applyFont="1" applyFill="1" applyBorder="1" applyAlignment="1">
      <alignment horizontal="center"/>
    </xf>
    <xf numFmtId="0" fontId="22" fillId="8" borderId="25" xfId="6" applyFont="1" applyFill="1" applyBorder="1" applyAlignment="1">
      <alignment horizontal="center"/>
    </xf>
    <xf numFmtId="0" fontId="22" fillId="0" borderId="14" xfId="6" applyFont="1" applyFill="1" applyBorder="1" applyAlignment="1">
      <alignment horizontal="center"/>
    </xf>
    <xf numFmtId="0" fontId="22" fillId="0" borderId="21" xfId="6" applyFont="1" applyFill="1" applyBorder="1" applyAlignment="1">
      <alignment horizontal="center"/>
    </xf>
    <xf numFmtId="0" fontId="22" fillId="0" borderId="22" xfId="6" applyFont="1" applyFill="1" applyBorder="1" applyAlignment="1">
      <alignment horizontal="center"/>
    </xf>
    <xf numFmtId="0" fontId="22" fillId="8" borderId="19" xfId="6" applyFont="1" applyFill="1" applyBorder="1" applyAlignment="1">
      <alignment horizontal="center"/>
    </xf>
    <xf numFmtId="0" fontId="22" fillId="0" borderId="19" xfId="6" applyFont="1" applyFill="1" applyBorder="1" applyAlignment="1">
      <alignment horizontal="center"/>
    </xf>
    <xf numFmtId="0" fontId="22" fillId="0" borderId="0" xfId="6" applyFont="1" applyFill="1" applyBorder="1" applyAlignment="1">
      <alignment horizontal="center"/>
    </xf>
    <xf numFmtId="0" fontId="15" fillId="4" borderId="19" xfId="11" applyBorder="1"/>
    <xf numFmtId="0" fontId="17" fillId="0" borderId="33" xfId="13"/>
    <xf numFmtId="44" fontId="17" fillId="0" borderId="33" xfId="13" applyNumberFormat="1"/>
    <xf numFmtId="14" fontId="17" fillId="0" borderId="33" xfId="13" applyNumberFormat="1"/>
    <xf numFmtId="0" fontId="23" fillId="0" borderId="0" xfId="6" applyFont="1" applyAlignment="1">
      <alignment wrapText="1"/>
    </xf>
    <xf numFmtId="0" fontId="23" fillId="0" borderId="0" xfId="6" applyFont="1"/>
    <xf numFmtId="44" fontId="23" fillId="0" borderId="0" xfId="7" applyFont="1"/>
    <xf numFmtId="3" fontId="23" fillId="0" borderId="0" xfId="7" applyNumberFormat="1" applyFont="1"/>
    <xf numFmtId="1" fontId="23" fillId="0" borderId="0" xfId="6" applyNumberFormat="1" applyFont="1"/>
    <xf numFmtId="0" fontId="15" fillId="4" borderId="22" xfId="11" applyBorder="1" applyAlignment="1">
      <alignment wrapText="1"/>
    </xf>
    <xf numFmtId="44" fontId="14" fillId="0" borderId="36" xfId="16" applyNumberFormat="1" applyAlignment="1">
      <alignment horizontal="center" wrapText="1"/>
    </xf>
    <xf numFmtId="0" fontId="2" fillId="0" borderId="19" xfId="6" applyFont="1" applyFill="1" applyBorder="1"/>
    <xf numFmtId="0" fontId="22" fillId="2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22" fillId="2" borderId="0" xfId="0" applyFont="1" applyFill="1" applyAlignment="1">
      <alignment horizontal="left"/>
    </xf>
    <xf numFmtId="0" fontId="22" fillId="2" borderId="0" xfId="0" applyFont="1" applyFill="1"/>
    <xf numFmtId="0" fontId="22" fillId="0" borderId="0" xfId="0" applyFont="1"/>
    <xf numFmtId="0" fontId="22" fillId="2" borderId="0" xfId="0" applyFont="1" applyFill="1" applyAlignment="1">
      <alignment horizontal="right"/>
    </xf>
    <xf numFmtId="0" fontId="2" fillId="13" borderId="37" xfId="17" applyFont="1"/>
    <xf numFmtId="0" fontId="0" fillId="13" borderId="37" xfId="17" applyFont="1" applyAlignment="1">
      <alignment horizontal="center"/>
    </xf>
    <xf numFmtId="44" fontId="0" fillId="13" borderId="37" xfId="17" applyNumberFormat="1" applyFont="1"/>
    <xf numFmtId="0" fontId="18" fillId="6" borderId="38" xfId="14" applyBorder="1" applyAlignment="1">
      <alignment horizontal="center"/>
    </xf>
    <xf numFmtId="0" fontId="21" fillId="6" borderId="38" xfId="14" applyFont="1" applyBorder="1" applyAlignment="1">
      <alignment horizontal="center"/>
    </xf>
    <xf numFmtId="44" fontId="0" fillId="0" borderId="39" xfId="2" applyNumberFormat="1" applyFont="1" applyFill="1" applyBorder="1" applyAlignment="1">
      <alignment horizontal="center"/>
    </xf>
    <xf numFmtId="0" fontId="21" fillId="6" borderId="40" xfId="14" applyFont="1" applyBorder="1" applyAlignment="1">
      <alignment horizontal="center"/>
    </xf>
    <xf numFmtId="0" fontId="25" fillId="0" borderId="0" xfId="0" applyFont="1" applyAlignment="1">
      <alignment wrapText="1"/>
    </xf>
    <xf numFmtId="165" fontId="25" fillId="0" borderId="0" xfId="1" applyNumberFormat="1" applyFont="1" applyAlignment="1">
      <alignment wrapText="1"/>
    </xf>
    <xf numFmtId="0" fontId="26" fillId="0" borderId="0" xfId="0" applyFont="1"/>
    <xf numFmtId="9" fontId="26" fillId="0" borderId="0" xfId="8" applyFont="1"/>
    <xf numFmtId="165" fontId="26" fillId="0" borderId="0" xfId="1" applyNumberFormat="1" applyFont="1"/>
    <xf numFmtId="0" fontId="26" fillId="0" borderId="0" xfId="6" applyFont="1"/>
    <xf numFmtId="1" fontId="27" fillId="5" borderId="32" xfId="12" applyNumberFormat="1" applyFont="1"/>
    <xf numFmtId="1" fontId="26" fillId="0" borderId="0" xfId="0" applyNumberFormat="1" applyFont="1"/>
    <xf numFmtId="1" fontId="26" fillId="0" borderId="0" xfId="1" applyNumberFormat="1" applyFont="1"/>
    <xf numFmtId="0" fontId="25" fillId="0" borderId="0" xfId="0" applyFont="1" applyAlignment="1"/>
    <xf numFmtId="165" fontId="25" fillId="0" borderId="0" xfId="1" applyNumberFormat="1" applyFont="1" applyAlignment="1"/>
    <xf numFmtId="0" fontId="26" fillId="0" borderId="0" xfId="0" applyFont="1" applyAlignment="1"/>
    <xf numFmtId="44" fontId="0" fillId="0" borderId="21" xfId="1" applyNumberFormat="1" applyFont="1" applyBorder="1"/>
    <xf numFmtId="44" fontId="13" fillId="16" borderId="0" xfId="9" applyNumberFormat="1" applyFill="1" applyBorder="1" applyAlignment="1">
      <alignment horizontal="center"/>
    </xf>
    <xf numFmtId="44" fontId="14" fillId="16" borderId="25" xfId="10" applyNumberFormat="1" applyFill="1" applyBorder="1"/>
    <xf numFmtId="44" fontId="14" fillId="16" borderId="26" xfId="10" applyNumberFormat="1" applyFill="1" applyBorder="1"/>
    <xf numFmtId="44" fontId="2" fillId="16" borderId="21" xfId="0" applyNumberFormat="1" applyFont="1" applyFill="1" applyBorder="1"/>
    <xf numFmtId="44" fontId="2" fillId="16" borderId="28" xfId="0" applyNumberFormat="1" applyFont="1" applyFill="1" applyBorder="1"/>
    <xf numFmtId="44" fontId="2" fillId="16" borderId="22" xfId="0" applyNumberFormat="1" applyFont="1" applyFill="1" applyBorder="1"/>
    <xf numFmtId="44" fontId="2" fillId="16" borderId="35" xfId="0" applyNumberFormat="1" applyFont="1" applyFill="1" applyBorder="1"/>
    <xf numFmtId="44" fontId="2" fillId="16" borderId="19" xfId="0" applyNumberFormat="1" applyFont="1" applyFill="1" applyBorder="1"/>
    <xf numFmtId="44" fontId="2" fillId="16" borderId="27" xfId="0" applyNumberFormat="1" applyFont="1" applyFill="1" applyBorder="1"/>
    <xf numFmtId="44" fontId="2" fillId="17" borderId="19" xfId="0" applyNumberFormat="1" applyFont="1" applyFill="1" applyBorder="1"/>
    <xf numFmtId="44" fontId="2" fillId="17" borderId="27" xfId="0" applyNumberFormat="1" applyFont="1" applyFill="1" applyBorder="1"/>
    <xf numFmtId="44" fontId="14" fillId="18" borderId="36" xfId="16" applyNumberFormat="1" applyFill="1" applyAlignment="1">
      <alignment wrapText="1"/>
    </xf>
    <xf numFmtId="44" fontId="19" fillId="18" borderId="19" xfId="15" applyNumberFormat="1" applyFont="1" applyFill="1" applyBorder="1"/>
    <xf numFmtId="44" fontId="17" fillId="18" borderId="33" xfId="13" applyNumberFormat="1" applyFill="1"/>
    <xf numFmtId="0" fontId="0" fillId="0" borderId="0" xfId="0" applyBorder="1"/>
    <xf numFmtId="44" fontId="0" fillId="0" borderId="45" xfId="1" applyFont="1" applyBorder="1"/>
    <xf numFmtId="1" fontId="0" fillId="0" borderId="24" xfId="0" applyNumberFormat="1" applyBorder="1" applyAlignment="1">
      <alignment horizontal="center"/>
    </xf>
    <xf numFmtId="0" fontId="0" fillId="0" borderId="46" xfId="0" applyBorder="1" applyAlignment="1">
      <alignment horizontal="center"/>
    </xf>
    <xf numFmtId="0" fontId="4" fillId="0" borderId="44" xfId="0" applyFont="1" applyBorder="1"/>
    <xf numFmtId="0" fontId="28" fillId="19" borderId="20" xfId="18" applyBorder="1"/>
    <xf numFmtId="164" fontId="29" fillId="12" borderId="1" xfId="0" applyNumberFormat="1" applyFont="1" applyFill="1" applyBorder="1" applyAlignment="1">
      <alignment horizontal="left"/>
    </xf>
    <xf numFmtId="164" fontId="29" fillId="0" borderId="3" xfId="0" applyNumberFormat="1" applyFont="1" applyFill="1" applyBorder="1" applyAlignment="1">
      <alignment horizontal="left"/>
    </xf>
    <xf numFmtId="0" fontId="30" fillId="0" borderId="2" xfId="0" applyFont="1" applyFill="1" applyBorder="1" applyAlignment="1">
      <alignment horizontal="center"/>
    </xf>
    <xf numFmtId="42" fontId="29" fillId="0" borderId="1" xfId="0" applyNumberFormat="1" applyFont="1" applyFill="1" applyBorder="1" applyAlignment="1">
      <alignment horizontal="center"/>
    </xf>
    <xf numFmtId="164" fontId="31" fillId="5" borderId="41" xfId="12" applyNumberFormat="1" applyFont="1" applyBorder="1" applyAlignment="1">
      <alignment horizontal="center"/>
    </xf>
    <xf numFmtId="0" fontId="32" fillId="0" borderId="8" xfId="0" applyFont="1" applyFill="1" applyBorder="1"/>
    <xf numFmtId="0" fontId="30" fillId="14" borderId="17" xfId="0" applyFont="1" applyFill="1" applyBorder="1" applyAlignment="1">
      <alignment horizontal="center"/>
    </xf>
    <xf numFmtId="42" fontId="29" fillId="14" borderId="18" xfId="0" applyNumberFormat="1" applyFont="1" applyFill="1" applyBorder="1" applyAlignment="1">
      <alignment horizontal="center"/>
    </xf>
    <xf numFmtId="164" fontId="32" fillId="0" borderId="4" xfId="0" applyNumberFormat="1" applyFont="1" applyFill="1" applyBorder="1"/>
    <xf numFmtId="0" fontId="32" fillId="0" borderId="7" xfId="0" applyFont="1" applyFill="1" applyBorder="1"/>
    <xf numFmtId="0" fontId="30" fillId="0" borderId="10" xfId="0" applyFont="1" applyFill="1" applyBorder="1" applyAlignment="1">
      <alignment horizontal="center"/>
    </xf>
    <xf numFmtId="42" fontId="29" fillId="0" borderId="11" xfId="0" applyNumberFormat="1" applyFont="1" applyFill="1" applyBorder="1" applyAlignment="1">
      <alignment horizontal="center"/>
    </xf>
    <xf numFmtId="164" fontId="32" fillId="0" borderId="4" xfId="0" applyNumberFormat="1" applyFont="1" applyFill="1" applyBorder="1" applyAlignment="1">
      <alignment horizontal="left"/>
    </xf>
    <xf numFmtId="164" fontId="32" fillId="0" borderId="7" xfId="0" applyNumberFormat="1" applyFont="1" applyFill="1" applyBorder="1" applyAlignment="1">
      <alignment horizontal="left"/>
    </xf>
    <xf numFmtId="0" fontId="30" fillId="14" borderId="10" xfId="0" applyFont="1" applyFill="1" applyBorder="1" applyAlignment="1">
      <alignment horizontal="center"/>
    </xf>
    <xf numFmtId="42" fontId="29" fillId="14" borderId="11" xfId="0" applyNumberFormat="1" applyFont="1" applyFill="1" applyBorder="1" applyAlignment="1">
      <alignment horizontal="center"/>
    </xf>
    <xf numFmtId="164" fontId="32" fillId="0" borderId="7" xfId="0" applyNumberFormat="1" applyFont="1" applyFill="1" applyBorder="1"/>
    <xf numFmtId="164" fontId="32" fillId="0" borderId="6" xfId="0" applyNumberFormat="1" applyFont="1" applyFill="1" applyBorder="1" applyAlignment="1">
      <alignment horizontal="left"/>
    </xf>
    <xf numFmtId="164" fontId="32" fillId="0" borderId="16" xfId="0" applyNumberFormat="1" applyFont="1" applyFill="1" applyBorder="1" applyAlignment="1">
      <alignment horizontal="left"/>
    </xf>
    <xf numFmtId="0" fontId="30" fillId="15" borderId="15" xfId="0" applyFont="1" applyFill="1" applyBorder="1" applyAlignment="1">
      <alignment horizontal="center"/>
    </xf>
    <xf numFmtId="42" fontId="29" fillId="15" borderId="13" xfId="0" applyNumberFormat="1" applyFont="1" applyFill="1" applyBorder="1" applyAlignment="1">
      <alignment horizontal="center"/>
    </xf>
    <xf numFmtId="0" fontId="30" fillId="15" borderId="10" xfId="0" applyFont="1" applyFill="1" applyBorder="1" applyAlignment="1">
      <alignment horizontal="center"/>
    </xf>
    <xf numFmtId="42" fontId="29" fillId="15" borderId="11" xfId="0" applyNumberFormat="1" applyFont="1" applyFill="1" applyBorder="1" applyAlignment="1">
      <alignment horizontal="center"/>
    </xf>
    <xf numFmtId="164" fontId="32" fillId="0" borderId="0" xfId="0" applyNumberFormat="1" applyFont="1" applyFill="1"/>
    <xf numFmtId="0" fontId="32" fillId="0" borderId="0" xfId="0" applyFont="1" applyFill="1"/>
    <xf numFmtId="0" fontId="30" fillId="0" borderId="0" xfId="0" applyFont="1" applyFill="1" applyAlignment="1">
      <alignment horizontal="center"/>
    </xf>
    <xf numFmtId="42" fontId="29" fillId="0" borderId="0" xfId="0" applyNumberFormat="1" applyFont="1" applyFill="1" applyAlignment="1">
      <alignment horizontal="center"/>
    </xf>
    <xf numFmtId="44" fontId="11" fillId="0" borderId="19" xfId="2" applyNumberFormat="1" applyFont="1" applyFill="1" applyBorder="1" applyAlignment="1"/>
    <xf numFmtId="44" fontId="13" fillId="7" borderId="42" xfId="9" applyNumberFormat="1" applyFill="1" applyBorder="1" applyAlignment="1">
      <alignment horizontal="center"/>
    </xf>
    <xf numFmtId="44" fontId="13" fillId="7" borderId="43" xfId="9" applyNumberForma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31" xfId="9" applyAlignment="1">
      <alignment horizontal="center" wrapText="1"/>
    </xf>
  </cellXfs>
  <cellStyles count="19">
    <cellStyle name="Accent4" xfId="15" builtinId="41"/>
    <cellStyle name="Bad" xfId="18" builtinId="27"/>
    <cellStyle name="Calculation" xfId="14" builtinId="22"/>
    <cellStyle name="Currency" xfId="1" builtinId="4"/>
    <cellStyle name="Currency 2" xfId="2"/>
    <cellStyle name="Currency 2 2" xfId="7"/>
    <cellStyle name="Currency 3" xfId="3"/>
    <cellStyle name="Currency 4" xfId="4"/>
    <cellStyle name="Heading 1" xfId="9" builtinId="16"/>
    <cellStyle name="Heading 3" xfId="16" builtinId="18"/>
    <cellStyle name="Heading 4" xfId="10" builtinId="19"/>
    <cellStyle name="Input" xfId="12" builtinId="20"/>
    <cellStyle name="Neutral" xfId="11" builtinId="28"/>
    <cellStyle name="Normal" xfId="0" builtinId="0"/>
    <cellStyle name="Normal 2" xfId="5"/>
    <cellStyle name="Normal 3" xfId="6"/>
    <cellStyle name="Note" xfId="17" builtinId="10"/>
    <cellStyle name="Percent" xfId="8" builtinId="5"/>
    <cellStyle name="Total" xfId="13" builtinId="25"/>
  </cellStyles>
  <dxfs count="6">
    <dxf>
      <numFmt numFmtId="165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Arial"/>
        <scheme val="none"/>
      </font>
      <alignment horizontal="center" vertical="bottom" textRotation="0" wrapText="1" indent="0" justifyLastLine="0" shrinkToFit="0" readingOrder="0"/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2" displayName="Table2" ref="A1:E21" totalsRowShown="0" headerRowDxfId="5">
  <autoFilter ref="A1:E21"/>
  <tableColumns count="5">
    <tableColumn id="1" name="HH Size" dataDxfId="4"/>
    <tableColumn id="2" name="Annual 100%" dataDxfId="3" dataCellStyle="Currency"/>
    <tableColumn id="3" name="Annual 150%" dataDxfId="2" dataCellStyle="Currency"/>
    <tableColumn id="7" name="Monthly 100%" dataDxfId="1" dataCellStyle="Currency 2"/>
    <tableColumn id="4" name="Monthly 150%" dataDxfId="0" dataCellStyle="Currency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N25"/>
  <sheetViews>
    <sheetView zoomScaleNormal="100" zoomScaleSheetLayoutView="120" workbookViewId="0">
      <selection activeCell="D35" sqref="D35"/>
    </sheetView>
  </sheetViews>
  <sheetFormatPr defaultRowHeight="12.75" x14ac:dyDescent="0.2"/>
  <cols>
    <col min="1" max="1" width="4.28515625" style="171" bestFit="1" customWidth="1"/>
    <col min="2" max="2" width="3.7109375" style="171" bestFit="1" customWidth="1"/>
    <col min="3" max="3" width="20.85546875" style="111" bestFit="1" customWidth="1"/>
    <col min="4" max="4" width="15.140625" style="103" bestFit="1" customWidth="1"/>
    <col min="5" max="5" width="14.5703125" style="103" bestFit="1" customWidth="1"/>
    <col min="6" max="6" width="1.7109375" style="103" customWidth="1"/>
    <col min="7" max="7" width="12.28515625" style="103" bestFit="1" customWidth="1"/>
    <col min="8" max="8" width="1.7109375" style="103" customWidth="1"/>
    <col min="9" max="9" width="13" style="103" bestFit="1" customWidth="1"/>
    <col min="10" max="10" width="15.140625" style="136" bestFit="1" customWidth="1"/>
    <col min="11" max="11" width="1.7109375" style="103" customWidth="1"/>
    <col min="12" max="12" width="16.140625" style="104" bestFit="1" customWidth="1"/>
    <col min="13" max="13" width="1.7109375" style="103" customWidth="1"/>
    <col min="14" max="14" width="15.140625" style="102" bestFit="1" customWidth="1"/>
    <col min="15" max="267" width="9.140625" style="102"/>
    <col min="268" max="268" width="14" style="102" bestFit="1" customWidth="1"/>
    <col min="269" max="269" width="13.28515625" style="102" customWidth="1"/>
    <col min="270" max="523" width="9.140625" style="102"/>
    <col min="524" max="524" width="14" style="102" bestFit="1" customWidth="1"/>
    <col min="525" max="525" width="13.28515625" style="102" customWidth="1"/>
    <col min="526" max="779" width="9.140625" style="102"/>
    <col min="780" max="780" width="14" style="102" bestFit="1" customWidth="1"/>
    <col min="781" max="781" width="13.28515625" style="102" customWidth="1"/>
    <col min="782" max="1035" width="9.140625" style="102"/>
    <col min="1036" max="1036" width="14" style="102" bestFit="1" customWidth="1"/>
    <col min="1037" max="1037" width="13.28515625" style="102" customWidth="1"/>
    <col min="1038" max="1291" width="9.140625" style="102"/>
    <col min="1292" max="1292" width="14" style="102" bestFit="1" customWidth="1"/>
    <col min="1293" max="1293" width="13.28515625" style="102" customWidth="1"/>
    <col min="1294" max="1547" width="9.140625" style="102"/>
    <col min="1548" max="1548" width="14" style="102" bestFit="1" customWidth="1"/>
    <col min="1549" max="1549" width="13.28515625" style="102" customWidth="1"/>
    <col min="1550" max="1803" width="9.140625" style="102"/>
    <col min="1804" max="1804" width="14" style="102" bestFit="1" customWidth="1"/>
    <col min="1805" max="1805" width="13.28515625" style="102" customWidth="1"/>
    <col min="1806" max="2059" width="9.140625" style="102"/>
    <col min="2060" max="2060" width="14" style="102" bestFit="1" customWidth="1"/>
    <col min="2061" max="2061" width="13.28515625" style="102" customWidth="1"/>
    <col min="2062" max="2315" width="9.140625" style="102"/>
    <col min="2316" max="2316" width="14" style="102" bestFit="1" customWidth="1"/>
    <col min="2317" max="2317" width="13.28515625" style="102" customWidth="1"/>
    <col min="2318" max="2571" width="9.140625" style="102"/>
    <col min="2572" max="2572" width="14" style="102" bestFit="1" customWidth="1"/>
    <col min="2573" max="2573" width="13.28515625" style="102" customWidth="1"/>
    <col min="2574" max="2827" width="9.140625" style="102"/>
    <col min="2828" max="2828" width="14" style="102" bestFit="1" customWidth="1"/>
    <col min="2829" max="2829" width="13.28515625" style="102" customWidth="1"/>
    <col min="2830" max="3083" width="9.140625" style="102"/>
    <col min="3084" max="3084" width="14" style="102" bestFit="1" customWidth="1"/>
    <col min="3085" max="3085" width="13.28515625" style="102" customWidth="1"/>
    <col min="3086" max="3339" width="9.140625" style="102"/>
    <col min="3340" max="3340" width="14" style="102" bestFit="1" customWidth="1"/>
    <col min="3341" max="3341" width="13.28515625" style="102" customWidth="1"/>
    <col min="3342" max="3595" width="9.140625" style="102"/>
    <col min="3596" max="3596" width="14" style="102" bestFit="1" customWidth="1"/>
    <col min="3597" max="3597" width="13.28515625" style="102" customWidth="1"/>
    <col min="3598" max="3851" width="9.140625" style="102"/>
    <col min="3852" max="3852" width="14" style="102" bestFit="1" customWidth="1"/>
    <col min="3853" max="3853" width="13.28515625" style="102" customWidth="1"/>
    <col min="3854" max="4107" width="9.140625" style="102"/>
    <col min="4108" max="4108" width="14" style="102" bestFit="1" customWidth="1"/>
    <col min="4109" max="4109" width="13.28515625" style="102" customWidth="1"/>
    <col min="4110" max="4363" width="9.140625" style="102"/>
    <col min="4364" max="4364" width="14" style="102" bestFit="1" customWidth="1"/>
    <col min="4365" max="4365" width="13.28515625" style="102" customWidth="1"/>
    <col min="4366" max="4619" width="9.140625" style="102"/>
    <col min="4620" max="4620" width="14" style="102" bestFit="1" customWidth="1"/>
    <col min="4621" max="4621" width="13.28515625" style="102" customWidth="1"/>
    <col min="4622" max="4875" width="9.140625" style="102"/>
    <col min="4876" max="4876" width="14" style="102" bestFit="1" customWidth="1"/>
    <col min="4877" max="4877" width="13.28515625" style="102" customWidth="1"/>
    <col min="4878" max="5131" width="9.140625" style="102"/>
    <col min="5132" max="5132" width="14" style="102" bestFit="1" customWidth="1"/>
    <col min="5133" max="5133" width="13.28515625" style="102" customWidth="1"/>
    <col min="5134" max="5387" width="9.140625" style="102"/>
    <col min="5388" max="5388" width="14" style="102" bestFit="1" customWidth="1"/>
    <col min="5389" max="5389" width="13.28515625" style="102" customWidth="1"/>
    <col min="5390" max="5643" width="9.140625" style="102"/>
    <col min="5644" max="5644" width="14" style="102" bestFit="1" customWidth="1"/>
    <col min="5645" max="5645" width="13.28515625" style="102" customWidth="1"/>
    <col min="5646" max="5899" width="9.140625" style="102"/>
    <col min="5900" max="5900" width="14" style="102" bestFit="1" customWidth="1"/>
    <col min="5901" max="5901" width="13.28515625" style="102" customWidth="1"/>
    <col min="5902" max="6155" width="9.140625" style="102"/>
    <col min="6156" max="6156" width="14" style="102" bestFit="1" customWidth="1"/>
    <col min="6157" max="6157" width="13.28515625" style="102" customWidth="1"/>
    <col min="6158" max="6411" width="9.140625" style="102"/>
    <col min="6412" max="6412" width="14" style="102" bestFit="1" customWidth="1"/>
    <col min="6413" max="6413" width="13.28515625" style="102" customWidth="1"/>
    <col min="6414" max="6667" width="9.140625" style="102"/>
    <col min="6668" max="6668" width="14" style="102" bestFit="1" customWidth="1"/>
    <col min="6669" max="6669" width="13.28515625" style="102" customWidth="1"/>
    <col min="6670" max="6923" width="9.140625" style="102"/>
    <col min="6924" max="6924" width="14" style="102" bestFit="1" customWidth="1"/>
    <col min="6925" max="6925" width="13.28515625" style="102" customWidth="1"/>
    <col min="6926" max="7179" width="9.140625" style="102"/>
    <col min="7180" max="7180" width="14" style="102" bestFit="1" customWidth="1"/>
    <col min="7181" max="7181" width="13.28515625" style="102" customWidth="1"/>
    <col min="7182" max="7435" width="9.140625" style="102"/>
    <col min="7436" max="7436" width="14" style="102" bestFit="1" customWidth="1"/>
    <col min="7437" max="7437" width="13.28515625" style="102" customWidth="1"/>
    <col min="7438" max="7691" width="9.140625" style="102"/>
    <col min="7692" max="7692" width="14" style="102" bestFit="1" customWidth="1"/>
    <col min="7693" max="7693" width="13.28515625" style="102" customWidth="1"/>
    <col min="7694" max="7947" width="9.140625" style="102"/>
    <col min="7948" max="7948" width="14" style="102" bestFit="1" customWidth="1"/>
    <col min="7949" max="7949" width="13.28515625" style="102" customWidth="1"/>
    <col min="7950" max="8203" width="9.140625" style="102"/>
    <col min="8204" max="8204" width="14" style="102" bestFit="1" customWidth="1"/>
    <col min="8205" max="8205" width="13.28515625" style="102" customWidth="1"/>
    <col min="8206" max="8459" width="9.140625" style="102"/>
    <col min="8460" max="8460" width="14" style="102" bestFit="1" customWidth="1"/>
    <col min="8461" max="8461" width="13.28515625" style="102" customWidth="1"/>
    <col min="8462" max="8715" width="9.140625" style="102"/>
    <col min="8716" max="8716" width="14" style="102" bestFit="1" customWidth="1"/>
    <col min="8717" max="8717" width="13.28515625" style="102" customWidth="1"/>
    <col min="8718" max="8971" width="9.140625" style="102"/>
    <col min="8972" max="8972" width="14" style="102" bestFit="1" customWidth="1"/>
    <col min="8973" max="8973" width="13.28515625" style="102" customWidth="1"/>
    <col min="8974" max="9227" width="9.140625" style="102"/>
    <col min="9228" max="9228" width="14" style="102" bestFit="1" customWidth="1"/>
    <col min="9229" max="9229" width="13.28515625" style="102" customWidth="1"/>
    <col min="9230" max="9483" width="9.140625" style="102"/>
    <col min="9484" max="9484" width="14" style="102" bestFit="1" customWidth="1"/>
    <col min="9485" max="9485" width="13.28515625" style="102" customWidth="1"/>
    <col min="9486" max="9739" width="9.140625" style="102"/>
    <col min="9740" max="9740" width="14" style="102" bestFit="1" customWidth="1"/>
    <col min="9741" max="9741" width="13.28515625" style="102" customWidth="1"/>
    <col min="9742" max="9995" width="9.140625" style="102"/>
    <col min="9996" max="9996" width="14" style="102" bestFit="1" customWidth="1"/>
    <col min="9997" max="9997" width="13.28515625" style="102" customWidth="1"/>
    <col min="9998" max="10251" width="9.140625" style="102"/>
    <col min="10252" max="10252" width="14" style="102" bestFit="1" customWidth="1"/>
    <col min="10253" max="10253" width="13.28515625" style="102" customWidth="1"/>
    <col min="10254" max="10507" width="9.140625" style="102"/>
    <col min="10508" max="10508" width="14" style="102" bestFit="1" customWidth="1"/>
    <col min="10509" max="10509" width="13.28515625" style="102" customWidth="1"/>
    <col min="10510" max="10763" width="9.140625" style="102"/>
    <col min="10764" max="10764" width="14" style="102" bestFit="1" customWidth="1"/>
    <col min="10765" max="10765" width="13.28515625" style="102" customWidth="1"/>
    <col min="10766" max="11019" width="9.140625" style="102"/>
    <col min="11020" max="11020" width="14" style="102" bestFit="1" customWidth="1"/>
    <col min="11021" max="11021" width="13.28515625" style="102" customWidth="1"/>
    <col min="11022" max="11275" width="9.140625" style="102"/>
    <col min="11276" max="11276" width="14" style="102" bestFit="1" customWidth="1"/>
    <col min="11277" max="11277" width="13.28515625" style="102" customWidth="1"/>
    <col min="11278" max="11531" width="9.140625" style="102"/>
    <col min="11532" max="11532" width="14" style="102" bestFit="1" customWidth="1"/>
    <col min="11533" max="11533" width="13.28515625" style="102" customWidth="1"/>
    <col min="11534" max="11787" width="9.140625" style="102"/>
    <col min="11788" max="11788" width="14" style="102" bestFit="1" customWidth="1"/>
    <col min="11789" max="11789" width="13.28515625" style="102" customWidth="1"/>
    <col min="11790" max="12043" width="9.140625" style="102"/>
    <col min="12044" max="12044" width="14" style="102" bestFit="1" customWidth="1"/>
    <col min="12045" max="12045" width="13.28515625" style="102" customWidth="1"/>
    <col min="12046" max="12299" width="9.140625" style="102"/>
    <col min="12300" max="12300" width="14" style="102" bestFit="1" customWidth="1"/>
    <col min="12301" max="12301" width="13.28515625" style="102" customWidth="1"/>
    <col min="12302" max="12555" width="9.140625" style="102"/>
    <col min="12556" max="12556" width="14" style="102" bestFit="1" customWidth="1"/>
    <col min="12557" max="12557" width="13.28515625" style="102" customWidth="1"/>
    <col min="12558" max="12811" width="9.140625" style="102"/>
    <col min="12812" max="12812" width="14" style="102" bestFit="1" customWidth="1"/>
    <col min="12813" max="12813" width="13.28515625" style="102" customWidth="1"/>
    <col min="12814" max="13067" width="9.140625" style="102"/>
    <col min="13068" max="13068" width="14" style="102" bestFit="1" customWidth="1"/>
    <col min="13069" max="13069" width="13.28515625" style="102" customWidth="1"/>
    <col min="13070" max="13323" width="9.140625" style="102"/>
    <col min="13324" max="13324" width="14" style="102" bestFit="1" customWidth="1"/>
    <col min="13325" max="13325" width="13.28515625" style="102" customWidth="1"/>
    <col min="13326" max="13579" width="9.140625" style="102"/>
    <col min="13580" max="13580" width="14" style="102" bestFit="1" customWidth="1"/>
    <col min="13581" max="13581" width="13.28515625" style="102" customWidth="1"/>
    <col min="13582" max="13835" width="9.140625" style="102"/>
    <col min="13836" max="13836" width="14" style="102" bestFit="1" customWidth="1"/>
    <col min="13837" max="13837" width="13.28515625" style="102" customWidth="1"/>
    <col min="13838" max="14091" width="9.140625" style="102"/>
    <col min="14092" max="14092" width="14" style="102" bestFit="1" customWidth="1"/>
    <col min="14093" max="14093" width="13.28515625" style="102" customWidth="1"/>
    <col min="14094" max="14347" width="9.140625" style="102"/>
    <col min="14348" max="14348" width="14" style="102" bestFit="1" customWidth="1"/>
    <col min="14349" max="14349" width="13.28515625" style="102" customWidth="1"/>
    <col min="14350" max="14603" width="9.140625" style="102"/>
    <col min="14604" max="14604" width="14" style="102" bestFit="1" customWidth="1"/>
    <col min="14605" max="14605" width="13.28515625" style="102" customWidth="1"/>
    <col min="14606" max="14859" width="9.140625" style="102"/>
    <col min="14860" max="14860" width="14" style="102" bestFit="1" customWidth="1"/>
    <col min="14861" max="14861" width="13.28515625" style="102" customWidth="1"/>
    <col min="14862" max="15115" width="9.140625" style="102"/>
    <col min="15116" max="15116" width="14" style="102" bestFit="1" customWidth="1"/>
    <col min="15117" max="15117" width="13.28515625" style="102" customWidth="1"/>
    <col min="15118" max="15371" width="9.140625" style="102"/>
    <col min="15372" max="15372" width="14" style="102" bestFit="1" customWidth="1"/>
    <col min="15373" max="15373" width="13.28515625" style="102" customWidth="1"/>
    <col min="15374" max="15627" width="9.140625" style="102"/>
    <col min="15628" max="15628" width="14" style="102" bestFit="1" customWidth="1"/>
    <col min="15629" max="15629" width="13.28515625" style="102" customWidth="1"/>
    <col min="15630" max="15883" width="9.140625" style="102"/>
    <col min="15884" max="15884" width="14" style="102" bestFit="1" customWidth="1"/>
    <col min="15885" max="15885" width="13.28515625" style="102" customWidth="1"/>
    <col min="15886" max="16139" width="9.140625" style="102"/>
    <col min="16140" max="16140" width="14" style="102" bestFit="1" customWidth="1"/>
    <col min="16141" max="16141" width="13.28515625" style="102" customWidth="1"/>
    <col min="16142" max="16384" width="9.140625" style="102"/>
  </cols>
  <sheetData>
    <row r="1" spans="1:14" s="111" customFormat="1" ht="20.25" thickBot="1" x14ac:dyDescent="0.35">
      <c r="A1" s="163"/>
      <c r="B1" s="163"/>
      <c r="C1" s="229" t="s">
        <v>122</v>
      </c>
      <c r="D1" s="258" t="s">
        <v>78</v>
      </c>
      <c r="E1" s="259"/>
      <c r="F1" s="259"/>
      <c r="G1" s="259"/>
      <c r="H1" s="259"/>
      <c r="I1" s="259"/>
      <c r="J1" s="259"/>
      <c r="K1" s="210"/>
      <c r="L1" s="210"/>
      <c r="M1" s="120"/>
      <c r="N1" s="119"/>
    </row>
    <row r="2" spans="1:14" s="111" customFormat="1" ht="15" x14ac:dyDescent="0.25">
      <c r="A2" s="164"/>
      <c r="B2" s="165"/>
      <c r="C2" s="125"/>
      <c r="D2" s="126" t="s">
        <v>93</v>
      </c>
      <c r="E2" s="127"/>
      <c r="F2" s="126"/>
      <c r="G2" s="126" t="s">
        <v>86</v>
      </c>
      <c r="H2" s="126"/>
      <c r="I2" s="126" t="s">
        <v>87</v>
      </c>
      <c r="J2" s="131" t="s">
        <v>101</v>
      </c>
      <c r="K2" s="211"/>
      <c r="L2" s="212" t="s">
        <v>123</v>
      </c>
      <c r="M2" s="128"/>
      <c r="N2" s="129" t="s">
        <v>98</v>
      </c>
    </row>
    <row r="3" spans="1:14" ht="15" customHeight="1" thickBot="1" x14ac:dyDescent="0.25">
      <c r="A3" s="166" t="s">
        <v>94</v>
      </c>
      <c r="B3" s="167" t="s">
        <v>95</v>
      </c>
      <c r="C3" s="130"/>
      <c r="D3" s="100">
        <v>2885654</v>
      </c>
      <c r="E3" s="100" t="s">
        <v>96</v>
      </c>
      <c r="F3" s="100"/>
      <c r="G3" s="100"/>
      <c r="H3" s="100"/>
      <c r="I3" s="100"/>
      <c r="J3" s="132"/>
      <c r="K3" s="213"/>
      <c r="L3" s="214">
        <v>40862.75</v>
      </c>
      <c r="M3" s="153"/>
      <c r="N3" s="154"/>
    </row>
    <row r="4" spans="1:14" ht="15" customHeight="1" x14ac:dyDescent="0.2">
      <c r="A4" s="168">
        <v>50</v>
      </c>
      <c r="B4" s="169"/>
      <c r="C4" s="121" t="s">
        <v>41</v>
      </c>
      <c r="D4" s="122">
        <f>D3-SUM(D13,D18,D20,D22)</f>
        <v>1700535.8599999999</v>
      </c>
      <c r="E4" s="123"/>
      <c r="F4" s="123"/>
      <c r="G4" s="123"/>
      <c r="H4" s="123"/>
      <c r="I4" s="123"/>
      <c r="J4" s="123"/>
      <c r="K4" s="215"/>
      <c r="L4" s="216"/>
      <c r="M4" s="124"/>
      <c r="N4" s="155"/>
    </row>
    <row r="5" spans="1:14" ht="15" customHeight="1" x14ac:dyDescent="0.2">
      <c r="A5" s="169"/>
      <c r="B5" s="170">
        <v>1</v>
      </c>
      <c r="C5" s="109" t="s">
        <v>81</v>
      </c>
      <c r="D5" s="106"/>
      <c r="E5" s="101">
        <v>119574</v>
      </c>
      <c r="F5" s="101"/>
      <c r="G5" s="101"/>
      <c r="H5" s="101"/>
      <c r="I5" s="101"/>
      <c r="J5" s="133">
        <f>SUM(D5:I5)</f>
        <v>119574</v>
      </c>
      <c r="K5" s="217"/>
      <c r="L5" s="218"/>
      <c r="M5" s="99"/>
      <c r="N5" s="108"/>
    </row>
    <row r="6" spans="1:14" ht="15" customHeight="1" x14ac:dyDescent="0.2">
      <c r="A6" s="169"/>
      <c r="B6" s="170">
        <v>2</v>
      </c>
      <c r="C6" s="109" t="s">
        <v>82</v>
      </c>
      <c r="D6" s="106"/>
      <c r="E6" s="101">
        <v>54260.7</v>
      </c>
      <c r="F6" s="101"/>
      <c r="G6" s="101"/>
      <c r="H6" s="101"/>
      <c r="I6" s="101"/>
      <c r="J6" s="133">
        <f t="shared" ref="J6:J22" si="0">SUM(D6:I6)</f>
        <v>54260.7</v>
      </c>
      <c r="K6" s="217"/>
      <c r="L6" s="218"/>
      <c r="M6" s="99"/>
      <c r="N6" s="108"/>
    </row>
    <row r="7" spans="1:14" ht="15" customHeight="1" x14ac:dyDescent="0.2">
      <c r="A7" s="169"/>
      <c r="B7" s="170">
        <v>4</v>
      </c>
      <c r="C7" s="109" t="s">
        <v>74</v>
      </c>
      <c r="D7" s="106"/>
      <c r="E7" s="101">
        <v>13000</v>
      </c>
      <c r="F7" s="101"/>
      <c r="G7" s="101"/>
      <c r="H7" s="101"/>
      <c r="I7" s="101"/>
      <c r="J7" s="133">
        <f t="shared" si="0"/>
        <v>13000</v>
      </c>
      <c r="K7" s="217"/>
      <c r="L7" s="218"/>
      <c r="M7" s="99"/>
      <c r="N7" s="108"/>
    </row>
    <row r="8" spans="1:14" ht="15" customHeight="1" x14ac:dyDescent="0.2">
      <c r="A8" s="169"/>
      <c r="B8" s="170">
        <v>5</v>
      </c>
      <c r="C8" s="109" t="s">
        <v>75</v>
      </c>
      <c r="D8" s="106"/>
      <c r="E8" s="106"/>
      <c r="F8" s="101"/>
      <c r="G8" s="101"/>
      <c r="H8" s="101"/>
      <c r="I8" s="101"/>
      <c r="J8" s="133">
        <f t="shared" si="0"/>
        <v>0</v>
      </c>
      <c r="K8" s="217"/>
      <c r="L8" s="218"/>
      <c r="M8" s="99"/>
      <c r="N8" s="108"/>
    </row>
    <row r="9" spans="1:14" ht="15" customHeight="1" x14ac:dyDescent="0.2">
      <c r="A9" s="169"/>
      <c r="B9" s="170">
        <v>11</v>
      </c>
      <c r="C9" s="109" t="s">
        <v>91</v>
      </c>
      <c r="D9" s="106"/>
      <c r="E9" s="101">
        <v>2100</v>
      </c>
      <c r="F9" s="101"/>
      <c r="G9" s="101"/>
      <c r="H9" s="101"/>
      <c r="I9" s="101"/>
      <c r="J9" s="133">
        <f t="shared" si="0"/>
        <v>2100</v>
      </c>
      <c r="K9" s="217"/>
      <c r="L9" s="218"/>
      <c r="M9" s="99"/>
      <c r="N9" s="108"/>
    </row>
    <row r="10" spans="1:14" ht="15" customHeight="1" x14ac:dyDescent="0.2">
      <c r="A10" s="169"/>
      <c r="B10" s="170">
        <v>14</v>
      </c>
      <c r="C10" s="109" t="s">
        <v>92</v>
      </c>
      <c r="D10" s="106"/>
      <c r="E10" s="101">
        <v>1600</v>
      </c>
      <c r="F10" s="101"/>
      <c r="G10" s="101"/>
      <c r="H10" s="101"/>
      <c r="I10" s="101"/>
      <c r="J10" s="133">
        <f t="shared" si="0"/>
        <v>1600</v>
      </c>
      <c r="K10" s="217"/>
      <c r="L10" s="218"/>
      <c r="M10" s="99"/>
      <c r="N10" s="108"/>
    </row>
    <row r="11" spans="1:14" ht="15" customHeight="1" x14ac:dyDescent="0.2">
      <c r="A11" s="169"/>
      <c r="B11" s="170">
        <v>50</v>
      </c>
      <c r="C11" s="109" t="s">
        <v>97</v>
      </c>
      <c r="D11" s="106"/>
      <c r="E11" s="101">
        <f>D4-SUM(E5:E10)</f>
        <v>1510001.16</v>
      </c>
      <c r="F11" s="101"/>
      <c r="G11" s="101"/>
      <c r="H11" s="101"/>
      <c r="I11" s="101"/>
      <c r="J11" s="133">
        <f t="shared" si="0"/>
        <v>1510001.16</v>
      </c>
      <c r="K11" s="217"/>
      <c r="L11" s="218">
        <v>40862.75</v>
      </c>
      <c r="M11" s="99"/>
      <c r="N11" s="105">
        <f>J11+L11</f>
        <v>1550863.91</v>
      </c>
    </row>
    <row r="12" spans="1:14" ht="15" customHeight="1" x14ac:dyDescent="0.2">
      <c r="A12" s="169"/>
      <c r="B12" s="169"/>
      <c r="C12" s="110"/>
      <c r="D12" s="106"/>
      <c r="E12" s="106"/>
      <c r="F12" s="106"/>
      <c r="G12" s="106"/>
      <c r="H12" s="106"/>
      <c r="I12" s="106"/>
      <c r="J12" s="134"/>
      <c r="K12" s="219"/>
      <c r="L12" s="220"/>
      <c r="M12" s="107"/>
      <c r="N12" s="108"/>
    </row>
    <row r="13" spans="1:14" ht="15" customHeight="1" x14ac:dyDescent="0.2">
      <c r="A13" s="170">
        <v>51</v>
      </c>
      <c r="B13" s="169"/>
      <c r="C13" s="109" t="s">
        <v>43</v>
      </c>
      <c r="D13" s="101">
        <f>D3*0.15</f>
        <v>432848.1</v>
      </c>
      <c r="E13" s="106"/>
      <c r="F13" s="106"/>
      <c r="G13" s="106"/>
      <c r="H13" s="106"/>
      <c r="I13" s="106"/>
      <c r="J13" s="106"/>
      <c r="K13" s="217"/>
      <c r="L13" s="218"/>
      <c r="M13" s="99"/>
      <c r="N13" s="108"/>
    </row>
    <row r="14" spans="1:14" ht="15" customHeight="1" x14ac:dyDescent="0.2">
      <c r="A14" s="169"/>
      <c r="B14" s="170">
        <v>1</v>
      </c>
      <c r="C14" s="109" t="s">
        <v>76</v>
      </c>
      <c r="D14" s="106"/>
      <c r="E14" s="101">
        <v>69732</v>
      </c>
      <c r="F14" s="101"/>
      <c r="G14" s="101"/>
      <c r="H14" s="101"/>
      <c r="I14" s="101"/>
      <c r="J14" s="133">
        <f t="shared" si="0"/>
        <v>69732</v>
      </c>
      <c r="K14" s="217"/>
      <c r="L14" s="218"/>
      <c r="M14" s="99"/>
      <c r="N14" s="108"/>
    </row>
    <row r="15" spans="1:14" ht="15" customHeight="1" x14ac:dyDescent="0.2">
      <c r="A15" s="169"/>
      <c r="B15" s="170">
        <v>2</v>
      </c>
      <c r="C15" s="109" t="s">
        <v>77</v>
      </c>
      <c r="D15" s="106"/>
      <c r="E15" s="101">
        <v>18047.64</v>
      </c>
      <c r="F15" s="101"/>
      <c r="G15" s="101"/>
      <c r="H15" s="101"/>
      <c r="I15" s="101"/>
      <c r="J15" s="133">
        <f t="shared" si="0"/>
        <v>18047.64</v>
      </c>
      <c r="K15" s="217"/>
      <c r="L15" s="218"/>
      <c r="M15" s="99"/>
      <c r="N15" s="108"/>
    </row>
    <row r="16" spans="1:14" ht="15" customHeight="1" x14ac:dyDescent="0.2">
      <c r="A16" s="169"/>
      <c r="B16" s="170">
        <v>50</v>
      </c>
      <c r="C16" s="109" t="s">
        <v>97</v>
      </c>
      <c r="D16" s="106"/>
      <c r="E16" s="101">
        <f>D13-SUM(E14:E15)</f>
        <v>345068.45999999996</v>
      </c>
      <c r="F16" s="101"/>
      <c r="G16" s="101"/>
      <c r="H16" s="101"/>
      <c r="I16" s="101"/>
      <c r="J16" s="133">
        <f t="shared" si="0"/>
        <v>345068.45999999996</v>
      </c>
      <c r="K16" s="217"/>
      <c r="L16" s="218"/>
      <c r="M16" s="99"/>
      <c r="N16" s="105">
        <f>J16</f>
        <v>345068.45999999996</v>
      </c>
    </row>
    <row r="17" spans="1:14" ht="15" customHeight="1" x14ac:dyDescent="0.2">
      <c r="A17" s="169"/>
      <c r="B17" s="169"/>
      <c r="C17" s="110"/>
      <c r="D17" s="106"/>
      <c r="E17" s="106"/>
      <c r="F17" s="106"/>
      <c r="G17" s="106"/>
      <c r="H17" s="106"/>
      <c r="I17" s="106"/>
      <c r="J17" s="134"/>
      <c r="K17" s="219"/>
      <c r="L17" s="220"/>
      <c r="M17" s="107"/>
      <c r="N17" s="108"/>
    </row>
    <row r="18" spans="1:14" ht="15" customHeight="1" x14ac:dyDescent="0.2">
      <c r="A18" s="170">
        <v>52</v>
      </c>
      <c r="B18" s="170">
        <v>50</v>
      </c>
      <c r="C18" s="109" t="s">
        <v>42</v>
      </c>
      <c r="D18" s="101">
        <f>D3*0.06</f>
        <v>173139.24</v>
      </c>
      <c r="E18" s="106"/>
      <c r="F18" s="101"/>
      <c r="G18" s="101"/>
      <c r="H18" s="101"/>
      <c r="I18" s="101"/>
      <c r="J18" s="133">
        <f t="shared" si="0"/>
        <v>173139.24</v>
      </c>
      <c r="K18" s="217"/>
      <c r="L18" s="218"/>
      <c r="M18" s="99"/>
      <c r="N18" s="105">
        <f>J18</f>
        <v>173139.24</v>
      </c>
    </row>
    <row r="19" spans="1:14" ht="15" customHeight="1" x14ac:dyDescent="0.2">
      <c r="A19" s="169"/>
      <c r="B19" s="169"/>
      <c r="C19" s="110"/>
      <c r="D19" s="106"/>
      <c r="E19" s="106"/>
      <c r="F19" s="106"/>
      <c r="G19" s="106"/>
      <c r="H19" s="106"/>
      <c r="I19" s="106"/>
      <c r="J19" s="134"/>
      <c r="K19" s="219"/>
      <c r="L19" s="220"/>
      <c r="M19" s="107"/>
      <c r="N19" s="108"/>
    </row>
    <row r="20" spans="1:14" ht="15" customHeight="1" x14ac:dyDescent="0.2">
      <c r="A20" s="170">
        <v>99</v>
      </c>
      <c r="B20" s="170">
        <v>99</v>
      </c>
      <c r="C20" s="109" t="s">
        <v>44</v>
      </c>
      <c r="D20" s="101">
        <f>D3*0.1+2000</f>
        <v>290565.40000000002</v>
      </c>
      <c r="E20" s="106"/>
      <c r="F20" s="101"/>
      <c r="G20" s="101"/>
      <c r="H20" s="101"/>
      <c r="I20" s="101"/>
      <c r="J20" s="133">
        <f t="shared" si="0"/>
        <v>290565.40000000002</v>
      </c>
      <c r="K20" s="217"/>
      <c r="L20" s="218"/>
      <c r="M20" s="99"/>
      <c r="N20" s="108"/>
    </row>
    <row r="21" spans="1:14" ht="15" customHeight="1" x14ac:dyDescent="0.2">
      <c r="A21" s="169"/>
      <c r="B21" s="169"/>
      <c r="C21" s="110"/>
      <c r="D21" s="106"/>
      <c r="E21" s="106"/>
      <c r="F21" s="106"/>
      <c r="G21" s="106"/>
      <c r="H21" s="106"/>
      <c r="I21" s="106"/>
      <c r="J21" s="134"/>
      <c r="K21" s="219"/>
      <c r="L21" s="220"/>
      <c r="M21" s="107"/>
      <c r="N21" s="108"/>
    </row>
    <row r="22" spans="1:14" ht="15" customHeight="1" x14ac:dyDescent="0.2">
      <c r="A22" s="170">
        <v>507</v>
      </c>
      <c r="B22" s="170">
        <v>50</v>
      </c>
      <c r="C22" s="109" t="s">
        <v>116</v>
      </c>
      <c r="D22" s="101">
        <f>D3*0.1</f>
        <v>288565.40000000002</v>
      </c>
      <c r="E22" s="106"/>
      <c r="F22" s="101"/>
      <c r="G22" s="101"/>
      <c r="H22" s="101"/>
      <c r="I22" s="101"/>
      <c r="J22" s="133">
        <f t="shared" si="0"/>
        <v>288565.40000000002</v>
      </c>
      <c r="K22" s="217"/>
      <c r="L22" s="218"/>
      <c r="M22" s="99"/>
      <c r="N22" s="108"/>
    </row>
    <row r="23" spans="1:14" ht="15" customHeight="1" x14ac:dyDescent="0.2">
      <c r="A23" s="169"/>
      <c r="B23" s="169"/>
      <c r="C23" s="110"/>
      <c r="D23" s="106"/>
      <c r="E23" s="106"/>
      <c r="F23" s="106"/>
      <c r="G23" s="106"/>
      <c r="H23" s="106"/>
      <c r="I23" s="106"/>
      <c r="J23" s="134"/>
      <c r="K23" s="219"/>
      <c r="L23" s="220"/>
      <c r="M23" s="107"/>
      <c r="N23" s="108"/>
    </row>
    <row r="24" spans="1:14" ht="15" customHeight="1" thickBot="1" x14ac:dyDescent="0.3">
      <c r="A24" s="169"/>
      <c r="B24" s="169"/>
      <c r="C24" s="113" t="s">
        <v>117</v>
      </c>
      <c r="D24" s="112">
        <f>SUM(D4:D23)</f>
        <v>2885654</v>
      </c>
      <c r="E24" s="112">
        <f>SUM(E4:E10,E14:E15)</f>
        <v>278314.34000000003</v>
      </c>
      <c r="F24" s="112"/>
      <c r="G24" s="112">
        <f>SUM(G4:G23)</f>
        <v>0</v>
      </c>
      <c r="H24" s="112"/>
      <c r="I24" s="112">
        <f>SUM(I4:I23)</f>
        <v>0</v>
      </c>
      <c r="J24" s="135">
        <f>SUM(J4:J23)</f>
        <v>2885654</v>
      </c>
      <c r="K24" s="112"/>
      <c r="L24" s="118">
        <f>SUM(L4:L23)</f>
        <v>40862.75</v>
      </c>
      <c r="M24" s="112"/>
      <c r="N24" s="112">
        <f>SUM(N4:N23)</f>
        <v>2069071.6099999999</v>
      </c>
    </row>
    <row r="25" spans="1:14" x14ac:dyDescent="0.2">
      <c r="E25" s="103" t="s">
        <v>119</v>
      </c>
    </row>
  </sheetData>
  <mergeCells count="1">
    <mergeCell ref="D1:J1"/>
  </mergeCells>
  <pageMargins left="0.75" right="0.75" top="1" bottom="1" header="0.5" footer="0.5"/>
  <pageSetup scale="90" fitToHeight="0" orientation="landscape" r:id="rId1"/>
  <headerFooter alignWithMargins="0">
    <oddHeader>&amp;L&amp;16FY 2018&amp;C&amp;18Energy Assistance Program Budget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  <pageSetUpPr fitToPage="1"/>
  </sheetPr>
  <dimension ref="A1:F47"/>
  <sheetViews>
    <sheetView zoomScaleNormal="100" zoomScaleSheetLayoutView="100" workbookViewId="0">
      <selection activeCell="E20" sqref="E20"/>
    </sheetView>
  </sheetViews>
  <sheetFormatPr defaultColWidth="17.42578125" defaultRowHeight="12.75" x14ac:dyDescent="0.2"/>
  <cols>
    <col min="1" max="1" width="16.140625" bestFit="1" customWidth="1"/>
    <col min="2" max="2" width="13.85546875" style="9" bestFit="1" customWidth="1"/>
    <col min="3" max="3" width="11.7109375" style="39" bestFit="1" customWidth="1"/>
    <col min="4" max="4" width="11.28515625" style="9" bestFit="1" customWidth="1"/>
    <col min="5" max="5" width="10.5703125" style="39" bestFit="1" customWidth="1"/>
  </cols>
  <sheetData>
    <row r="1" spans="1:5" s="41" customFormat="1" ht="30.75" thickBot="1" x14ac:dyDescent="0.3">
      <c r="A1" s="159" t="s">
        <v>51</v>
      </c>
      <c r="B1" s="159" t="s">
        <v>68</v>
      </c>
      <c r="C1" s="182" t="s">
        <v>69</v>
      </c>
      <c r="D1" s="159" t="s">
        <v>72</v>
      </c>
      <c r="E1" s="182" t="s">
        <v>70</v>
      </c>
    </row>
    <row r="2" spans="1:5" x14ac:dyDescent="0.2">
      <c r="A2" s="74" t="s">
        <v>5</v>
      </c>
      <c r="B2" s="94">
        <f>'CHAP Breakdown'!G2</f>
        <v>37.619999999999997</v>
      </c>
      <c r="C2" s="75">
        <v>5.6</v>
      </c>
      <c r="D2" s="94">
        <f>'CHAP Breakdown'!F2</f>
        <v>50</v>
      </c>
      <c r="E2" s="76">
        <f>C2*D2</f>
        <v>280</v>
      </c>
    </row>
    <row r="3" spans="1:5" x14ac:dyDescent="0.2">
      <c r="A3" s="77" t="s">
        <v>6</v>
      </c>
      <c r="B3" s="95">
        <f>'CHAP Breakdown'!G3</f>
        <v>20.759999999999998</v>
      </c>
      <c r="C3" s="79">
        <v>5.13</v>
      </c>
      <c r="D3" s="95">
        <f t="shared" ref="D3:D11" si="0">D2</f>
        <v>50</v>
      </c>
      <c r="E3" s="80">
        <f t="shared" ref="E3:E43" si="1">C3*D3</f>
        <v>256.5</v>
      </c>
    </row>
    <row r="4" spans="1:5" x14ac:dyDescent="0.2">
      <c r="A4" s="77" t="s">
        <v>7</v>
      </c>
      <c r="B4" s="95">
        <f>'CHAP Breakdown'!G4</f>
        <v>40.619999999999997</v>
      </c>
      <c r="C4" s="79">
        <v>5.65</v>
      </c>
      <c r="D4" s="78">
        <f t="shared" si="0"/>
        <v>50</v>
      </c>
      <c r="E4" s="80">
        <f t="shared" si="1"/>
        <v>282.5</v>
      </c>
    </row>
    <row r="5" spans="1:5" x14ac:dyDescent="0.2">
      <c r="A5" s="77" t="s">
        <v>8</v>
      </c>
      <c r="B5" s="95">
        <f>'CHAP Breakdown'!G5</f>
        <v>16.62</v>
      </c>
      <c r="C5" s="79">
        <v>5.4</v>
      </c>
      <c r="D5" s="78">
        <f t="shared" si="0"/>
        <v>50</v>
      </c>
      <c r="E5" s="80">
        <f t="shared" si="1"/>
        <v>270</v>
      </c>
    </row>
    <row r="6" spans="1:5" x14ac:dyDescent="0.2">
      <c r="A6" s="77" t="s">
        <v>9</v>
      </c>
      <c r="B6" s="95">
        <f>'CHAP Breakdown'!G6</f>
        <v>25.08</v>
      </c>
      <c r="C6" s="79">
        <v>5.85</v>
      </c>
      <c r="D6" s="78">
        <f t="shared" si="0"/>
        <v>50</v>
      </c>
      <c r="E6" s="80">
        <f t="shared" si="1"/>
        <v>292.5</v>
      </c>
    </row>
    <row r="7" spans="1:5" x14ac:dyDescent="0.2">
      <c r="A7" s="77" t="s">
        <v>10</v>
      </c>
      <c r="B7" s="95">
        <f>'CHAP Breakdown'!G7</f>
        <v>56.28</v>
      </c>
      <c r="C7" s="79">
        <v>5.25</v>
      </c>
      <c r="D7" s="78">
        <f t="shared" si="0"/>
        <v>50</v>
      </c>
      <c r="E7" s="80">
        <f t="shared" si="1"/>
        <v>262.5</v>
      </c>
    </row>
    <row r="8" spans="1:5" x14ac:dyDescent="0.2">
      <c r="A8" s="77" t="s">
        <v>11</v>
      </c>
      <c r="B8" s="95">
        <f>'CHAP Breakdown'!G8</f>
        <v>17.759999999999998</v>
      </c>
      <c r="C8" s="79">
        <v>6.15</v>
      </c>
      <c r="D8" s="78">
        <f t="shared" si="0"/>
        <v>50</v>
      </c>
      <c r="E8" s="80">
        <f t="shared" si="1"/>
        <v>307.5</v>
      </c>
    </row>
    <row r="9" spans="1:5" x14ac:dyDescent="0.2">
      <c r="A9" s="77" t="s">
        <v>12</v>
      </c>
      <c r="B9" s="95">
        <f>'CHAP Breakdown'!G9</f>
        <v>45.72</v>
      </c>
      <c r="C9" s="79">
        <v>6.24</v>
      </c>
      <c r="D9" s="78">
        <f t="shared" si="0"/>
        <v>50</v>
      </c>
      <c r="E9" s="80">
        <f t="shared" si="1"/>
        <v>312</v>
      </c>
    </row>
    <row r="10" spans="1:5" x14ac:dyDescent="0.2">
      <c r="A10" s="77" t="s">
        <v>13</v>
      </c>
      <c r="B10" s="95">
        <f>'CHAP Breakdown'!G10</f>
        <v>14.58</v>
      </c>
      <c r="C10" s="79">
        <v>5.2</v>
      </c>
      <c r="D10" s="78">
        <f t="shared" si="0"/>
        <v>50</v>
      </c>
      <c r="E10" s="80">
        <f t="shared" si="1"/>
        <v>260</v>
      </c>
    </row>
    <row r="11" spans="1:5" x14ac:dyDescent="0.2">
      <c r="A11" s="77" t="s">
        <v>14</v>
      </c>
      <c r="B11" s="95">
        <f>'CHAP Breakdown'!G11</f>
        <v>65.58</v>
      </c>
      <c r="C11" s="98">
        <v>5.33</v>
      </c>
      <c r="D11" s="78">
        <f t="shared" si="0"/>
        <v>50</v>
      </c>
      <c r="E11" s="80">
        <f t="shared" si="1"/>
        <v>266.5</v>
      </c>
    </row>
    <row r="12" spans="1:5" x14ac:dyDescent="0.2">
      <c r="A12" s="77" t="s">
        <v>15</v>
      </c>
      <c r="B12" s="95">
        <f>'CHAP Breakdown'!G12</f>
        <v>34.14</v>
      </c>
      <c r="C12" s="79">
        <v>5.51</v>
      </c>
      <c r="D12" s="78">
        <f>D43</f>
        <v>50</v>
      </c>
      <c r="E12" s="80">
        <f t="shared" si="1"/>
        <v>275.5</v>
      </c>
    </row>
    <row r="13" spans="1:5" x14ac:dyDescent="0.2">
      <c r="A13" s="77" t="s">
        <v>16</v>
      </c>
      <c r="B13" s="95">
        <f>'CHAP Breakdown'!G13</f>
        <v>38.339999999999996</v>
      </c>
      <c r="C13" s="79">
        <v>5.7</v>
      </c>
      <c r="D13" s="78">
        <f t="shared" ref="D13:D18" si="2">D12</f>
        <v>50</v>
      </c>
      <c r="E13" s="80">
        <f t="shared" si="1"/>
        <v>285</v>
      </c>
    </row>
    <row r="14" spans="1:5" x14ac:dyDescent="0.2">
      <c r="A14" s="77" t="s">
        <v>17</v>
      </c>
      <c r="B14" s="95">
        <f>'CHAP Breakdown'!G14</f>
        <v>26.34</v>
      </c>
      <c r="C14" s="79">
        <v>5.36</v>
      </c>
      <c r="D14" s="78">
        <f t="shared" si="2"/>
        <v>50</v>
      </c>
      <c r="E14" s="80">
        <f t="shared" si="1"/>
        <v>268</v>
      </c>
    </row>
    <row r="15" spans="1:5" x14ac:dyDescent="0.2">
      <c r="A15" s="77" t="s">
        <v>18</v>
      </c>
      <c r="B15" s="95">
        <f>'CHAP Breakdown'!G15</f>
        <v>34.619999999999997</v>
      </c>
      <c r="C15" s="79">
        <v>6.2</v>
      </c>
      <c r="D15" s="78">
        <f t="shared" si="2"/>
        <v>50</v>
      </c>
      <c r="E15" s="80">
        <f t="shared" si="1"/>
        <v>310</v>
      </c>
    </row>
    <row r="16" spans="1:5" x14ac:dyDescent="0.2">
      <c r="A16" s="86" t="s">
        <v>19</v>
      </c>
      <c r="B16" s="95">
        <f>'CHAP Breakdown'!G16</f>
        <v>43.26</v>
      </c>
      <c r="C16" s="79">
        <v>5.83</v>
      </c>
      <c r="D16" s="78">
        <f t="shared" si="2"/>
        <v>50</v>
      </c>
      <c r="E16" s="80">
        <f t="shared" si="1"/>
        <v>291.5</v>
      </c>
    </row>
    <row r="17" spans="1:5" x14ac:dyDescent="0.2">
      <c r="A17" s="86" t="s">
        <v>20</v>
      </c>
      <c r="B17" s="95">
        <f>'CHAP Breakdown'!G17</f>
        <v>19.259999999999998</v>
      </c>
      <c r="C17" s="79">
        <v>5.95</v>
      </c>
      <c r="D17" s="78">
        <f t="shared" si="2"/>
        <v>50</v>
      </c>
      <c r="E17" s="80">
        <f t="shared" si="1"/>
        <v>297.5</v>
      </c>
    </row>
    <row r="18" spans="1:5" x14ac:dyDescent="0.2">
      <c r="A18" s="86" t="s">
        <v>90</v>
      </c>
      <c r="B18" s="95">
        <f>'CHAP Breakdown'!G18</f>
        <v>1.74</v>
      </c>
      <c r="C18" s="79">
        <v>7</v>
      </c>
      <c r="D18" s="78">
        <f t="shared" si="2"/>
        <v>50</v>
      </c>
      <c r="E18" s="80">
        <f t="shared" si="1"/>
        <v>350</v>
      </c>
    </row>
    <row r="19" spans="1:5" x14ac:dyDescent="0.2">
      <c r="A19" s="86" t="s">
        <v>99</v>
      </c>
      <c r="B19" s="95">
        <f>'CHAP Breakdown'!G19</f>
        <v>16.919999999999998</v>
      </c>
      <c r="C19" s="98">
        <f>'Stove Oil Prices'!E19</f>
        <v>5.7</v>
      </c>
      <c r="D19" s="78">
        <f>D11</f>
        <v>50</v>
      </c>
      <c r="E19" s="80">
        <f t="shared" si="1"/>
        <v>285</v>
      </c>
    </row>
    <row r="20" spans="1:5" x14ac:dyDescent="0.2">
      <c r="A20" s="86" t="s">
        <v>21</v>
      </c>
      <c r="B20" s="95">
        <f>'CHAP Breakdown'!G20</f>
        <v>24.84</v>
      </c>
      <c r="C20" s="79">
        <f>'Stove Oil Prices'!E20</f>
        <v>6.01</v>
      </c>
      <c r="D20" s="78">
        <f>D18</f>
        <v>50</v>
      </c>
      <c r="E20" s="80">
        <f t="shared" si="1"/>
        <v>300.5</v>
      </c>
    </row>
    <row r="21" spans="1:5" x14ac:dyDescent="0.2">
      <c r="A21" s="86" t="s">
        <v>22</v>
      </c>
      <c r="B21" s="95">
        <f>'CHAP Breakdown'!G21</f>
        <v>11.459999999999999</v>
      </c>
      <c r="C21" s="79">
        <v>5.45</v>
      </c>
      <c r="D21" s="78">
        <f t="shared" ref="D21:D42" si="3">D20</f>
        <v>50</v>
      </c>
      <c r="E21" s="80">
        <f t="shared" si="1"/>
        <v>272.5</v>
      </c>
    </row>
    <row r="22" spans="1:5" x14ac:dyDescent="0.2">
      <c r="A22" s="86" t="s">
        <v>23</v>
      </c>
      <c r="B22" s="95">
        <f>'CHAP Breakdown'!G22</f>
        <v>48.78</v>
      </c>
      <c r="C22" s="79">
        <v>6.01</v>
      </c>
      <c r="D22" s="78">
        <f t="shared" si="3"/>
        <v>50</v>
      </c>
      <c r="E22" s="80">
        <f t="shared" si="1"/>
        <v>300.5</v>
      </c>
    </row>
    <row r="23" spans="1:5" x14ac:dyDescent="0.2">
      <c r="A23" s="86" t="s">
        <v>24</v>
      </c>
      <c r="B23" s="95">
        <f>'CHAP Breakdown'!G23</f>
        <v>21.24</v>
      </c>
      <c r="C23" s="79">
        <v>5.29</v>
      </c>
      <c r="D23" s="78">
        <f t="shared" si="3"/>
        <v>50</v>
      </c>
      <c r="E23" s="80">
        <f t="shared" si="1"/>
        <v>264.5</v>
      </c>
    </row>
    <row r="24" spans="1:5" x14ac:dyDescent="0.2">
      <c r="A24" s="86" t="s">
        <v>25</v>
      </c>
      <c r="B24" s="95">
        <f>'CHAP Breakdown'!G24</f>
        <v>24.3</v>
      </c>
      <c r="C24" s="79">
        <v>5.7</v>
      </c>
      <c r="D24" s="78">
        <f t="shared" si="3"/>
        <v>50</v>
      </c>
      <c r="E24" s="80">
        <f t="shared" si="1"/>
        <v>285</v>
      </c>
    </row>
    <row r="25" spans="1:5" x14ac:dyDescent="0.2">
      <c r="A25" s="86" t="s">
        <v>26</v>
      </c>
      <c r="B25" s="95">
        <f>'CHAP Breakdown'!G25</f>
        <v>21.24</v>
      </c>
      <c r="C25" s="79">
        <v>6.64</v>
      </c>
      <c r="D25" s="78">
        <f t="shared" si="3"/>
        <v>50</v>
      </c>
      <c r="E25" s="80">
        <f t="shared" si="1"/>
        <v>332</v>
      </c>
    </row>
    <row r="26" spans="1:5" x14ac:dyDescent="0.2">
      <c r="A26" s="86" t="s">
        <v>27</v>
      </c>
      <c r="B26" s="95">
        <f>'CHAP Breakdown'!G26</f>
        <v>16.8</v>
      </c>
      <c r="C26" s="79">
        <v>6</v>
      </c>
      <c r="D26" s="78">
        <f t="shared" si="3"/>
        <v>50</v>
      </c>
      <c r="E26" s="80">
        <f t="shared" si="1"/>
        <v>300</v>
      </c>
    </row>
    <row r="27" spans="1:5" x14ac:dyDescent="0.2">
      <c r="A27" s="86" t="s">
        <v>28</v>
      </c>
      <c r="B27" s="95">
        <f>'CHAP Breakdown'!G27</f>
        <v>11.219999999999999</v>
      </c>
      <c r="C27" s="79">
        <v>5.6</v>
      </c>
      <c r="D27" s="78">
        <f t="shared" si="3"/>
        <v>50</v>
      </c>
      <c r="E27" s="80">
        <f t="shared" si="1"/>
        <v>280</v>
      </c>
    </row>
    <row r="28" spans="1:5" x14ac:dyDescent="0.2">
      <c r="A28" s="86" t="s">
        <v>29</v>
      </c>
      <c r="B28" s="95">
        <f>'CHAP Breakdown'!G28</f>
        <v>29.759999999999998</v>
      </c>
      <c r="C28" s="79">
        <v>5.15</v>
      </c>
      <c r="D28" s="78">
        <f t="shared" si="3"/>
        <v>50</v>
      </c>
      <c r="E28" s="80">
        <f t="shared" si="1"/>
        <v>257.5</v>
      </c>
    </row>
    <row r="29" spans="1:5" x14ac:dyDescent="0.2">
      <c r="A29" s="86" t="s">
        <v>30</v>
      </c>
      <c r="B29" s="95">
        <f>'CHAP Breakdown'!G29</f>
        <v>4.2</v>
      </c>
      <c r="C29" s="79">
        <v>5.95</v>
      </c>
      <c r="D29" s="78">
        <f t="shared" si="3"/>
        <v>50</v>
      </c>
      <c r="E29" s="80">
        <f t="shared" si="1"/>
        <v>297.5</v>
      </c>
    </row>
    <row r="30" spans="1:5" x14ac:dyDescent="0.2">
      <c r="A30" s="86" t="s">
        <v>31</v>
      </c>
      <c r="B30" s="95">
        <f>'CHAP Breakdown'!G30</f>
        <v>34.08</v>
      </c>
      <c r="C30" s="79">
        <v>6.3</v>
      </c>
      <c r="D30" s="78">
        <f t="shared" si="3"/>
        <v>50</v>
      </c>
      <c r="E30" s="80">
        <f t="shared" si="1"/>
        <v>315</v>
      </c>
    </row>
    <row r="31" spans="1:5" x14ac:dyDescent="0.2">
      <c r="A31" s="86" t="s">
        <v>32</v>
      </c>
      <c r="B31" s="95">
        <f>'CHAP Breakdown'!G31</f>
        <v>6.54</v>
      </c>
      <c r="C31" s="79">
        <v>5.99</v>
      </c>
      <c r="D31" s="78">
        <f t="shared" si="3"/>
        <v>50</v>
      </c>
      <c r="E31" s="80">
        <f t="shared" si="1"/>
        <v>299.5</v>
      </c>
    </row>
    <row r="32" spans="1:5" s="10" customFormat="1" x14ac:dyDescent="0.2">
      <c r="A32" s="86" t="s">
        <v>33</v>
      </c>
      <c r="B32" s="96">
        <f>'CHAP Breakdown'!G32</f>
        <v>3.6599999999999997</v>
      </c>
      <c r="C32" s="55">
        <v>5.45</v>
      </c>
      <c r="D32" s="81">
        <f t="shared" si="3"/>
        <v>50</v>
      </c>
      <c r="E32" s="82">
        <f t="shared" si="1"/>
        <v>272.5</v>
      </c>
    </row>
    <row r="33" spans="1:6" x14ac:dyDescent="0.2">
      <c r="A33" s="86" t="s">
        <v>34</v>
      </c>
      <c r="B33" s="95">
        <f>'CHAP Breakdown'!G33</f>
        <v>40.14</v>
      </c>
      <c r="C33" s="79">
        <v>5.95</v>
      </c>
      <c r="D33" s="78">
        <f t="shared" si="3"/>
        <v>50</v>
      </c>
      <c r="E33" s="80">
        <f t="shared" si="1"/>
        <v>297.5</v>
      </c>
    </row>
    <row r="34" spans="1:6" x14ac:dyDescent="0.2">
      <c r="A34" s="86" t="s">
        <v>88</v>
      </c>
      <c r="B34" s="95">
        <f>'CHAP Breakdown'!G34</f>
        <v>1.38</v>
      </c>
      <c r="C34" s="79">
        <v>7</v>
      </c>
      <c r="D34" s="78">
        <f t="shared" si="3"/>
        <v>50</v>
      </c>
      <c r="E34" s="80">
        <f t="shared" si="1"/>
        <v>350</v>
      </c>
    </row>
    <row r="35" spans="1:6" x14ac:dyDescent="0.2">
      <c r="A35" s="86" t="s">
        <v>45</v>
      </c>
      <c r="B35" s="95">
        <f>'CHAP Breakdown'!G35</f>
        <v>18.72</v>
      </c>
      <c r="C35" s="79">
        <v>5.85</v>
      </c>
      <c r="D35" s="78">
        <f t="shared" si="3"/>
        <v>50</v>
      </c>
      <c r="E35" s="80">
        <f t="shared" si="1"/>
        <v>292.5</v>
      </c>
    </row>
    <row r="36" spans="1:6" x14ac:dyDescent="0.2">
      <c r="A36" s="86" t="s">
        <v>36</v>
      </c>
      <c r="B36" s="95">
        <f>'CHAP Breakdown'!G36</f>
        <v>30.419999999999998</v>
      </c>
      <c r="C36" s="79">
        <v>5.99</v>
      </c>
      <c r="D36" s="78">
        <f t="shared" si="3"/>
        <v>50</v>
      </c>
      <c r="E36" s="80">
        <f t="shared" si="1"/>
        <v>299.5</v>
      </c>
    </row>
    <row r="37" spans="1:6" x14ac:dyDescent="0.2">
      <c r="A37" s="86" t="s">
        <v>35</v>
      </c>
      <c r="B37" s="95">
        <f>'CHAP Breakdown'!G37</f>
        <v>28.439999999999998</v>
      </c>
      <c r="C37" s="79">
        <v>5.99</v>
      </c>
      <c r="D37" s="78">
        <f t="shared" si="3"/>
        <v>50</v>
      </c>
      <c r="E37" s="80">
        <f t="shared" si="1"/>
        <v>299.5</v>
      </c>
    </row>
    <row r="38" spans="1:6" x14ac:dyDescent="0.2">
      <c r="A38" s="86" t="s">
        <v>89</v>
      </c>
      <c r="B38" s="95">
        <f>'CHAP Breakdown'!G38</f>
        <v>5.16</v>
      </c>
      <c r="C38" s="79">
        <v>7</v>
      </c>
      <c r="D38" s="78">
        <f t="shared" si="3"/>
        <v>50</v>
      </c>
      <c r="E38" s="80">
        <f t="shared" si="1"/>
        <v>350</v>
      </c>
    </row>
    <row r="39" spans="1:6" x14ac:dyDescent="0.2">
      <c r="A39" s="86" t="s">
        <v>37</v>
      </c>
      <c r="B39" s="95">
        <f>'CHAP Breakdown'!G39</f>
        <v>35.4</v>
      </c>
      <c r="C39" s="79">
        <v>6.68</v>
      </c>
      <c r="D39" s="78">
        <f t="shared" si="3"/>
        <v>50</v>
      </c>
      <c r="E39" s="80">
        <f t="shared" si="1"/>
        <v>334</v>
      </c>
    </row>
    <row r="40" spans="1:6" x14ac:dyDescent="0.2">
      <c r="A40" s="86" t="s">
        <v>38</v>
      </c>
      <c r="B40" s="95">
        <f>'CHAP Breakdown'!G40</f>
        <v>22.38</v>
      </c>
      <c r="C40" s="79">
        <v>5.85</v>
      </c>
      <c r="D40" s="78">
        <f t="shared" si="3"/>
        <v>50</v>
      </c>
      <c r="E40" s="80">
        <f t="shared" si="1"/>
        <v>292.5</v>
      </c>
    </row>
    <row r="41" spans="1:6" x14ac:dyDescent="0.2">
      <c r="A41" s="86" t="s">
        <v>39</v>
      </c>
      <c r="B41" s="95">
        <f>'CHAP Breakdown'!G41</f>
        <v>24.48</v>
      </c>
      <c r="C41" s="79">
        <v>5.05</v>
      </c>
      <c r="D41" s="78">
        <f t="shared" si="3"/>
        <v>50</v>
      </c>
      <c r="E41" s="80">
        <f t="shared" si="1"/>
        <v>252.5</v>
      </c>
      <c r="F41" s="224"/>
    </row>
    <row r="42" spans="1:6" x14ac:dyDescent="0.2">
      <c r="A42" s="86" t="s">
        <v>40</v>
      </c>
      <c r="B42" s="95">
        <f>'CHAP Breakdown'!G42</f>
        <v>19.62</v>
      </c>
      <c r="C42" s="79">
        <v>5.35</v>
      </c>
      <c r="D42" s="78">
        <f t="shared" si="3"/>
        <v>50</v>
      </c>
      <c r="E42" s="80">
        <f t="shared" si="1"/>
        <v>267.5</v>
      </c>
      <c r="F42" s="224"/>
    </row>
    <row r="43" spans="1:6" ht="13.5" thickBot="1" x14ac:dyDescent="0.25">
      <c r="A43" s="86" t="s">
        <v>114</v>
      </c>
      <c r="B43" s="97">
        <f>'CHAP Breakdown'!G43</f>
        <v>12.6</v>
      </c>
      <c r="C43" s="209">
        <f>'Stove Oil Prices'!E43</f>
        <v>5.7</v>
      </c>
      <c r="D43" s="83">
        <f>D19</f>
        <v>50</v>
      </c>
      <c r="E43" s="84">
        <f t="shared" si="1"/>
        <v>285</v>
      </c>
    </row>
    <row r="44" spans="1:6" x14ac:dyDescent="0.2">
      <c r="A44" s="74" t="s">
        <v>59</v>
      </c>
      <c r="B44" s="226">
        <f>SUM(B2:B43)</f>
        <v>1052.0999999999997</v>
      </c>
      <c r="C44" s="225">
        <f>SUM(C2:C43)</f>
        <v>245</v>
      </c>
    </row>
    <row r="45" spans="1:6" x14ac:dyDescent="0.2">
      <c r="A45" s="228" t="s">
        <v>71</v>
      </c>
      <c r="B45" s="227"/>
      <c r="C45" s="39">
        <f>AVERAGE(C2:C43)</f>
        <v>5.833333333333333</v>
      </c>
    </row>
    <row r="47" spans="1:6" x14ac:dyDescent="0.2">
      <c r="A47" s="190" t="s">
        <v>109</v>
      </c>
      <c r="B47" s="191"/>
      <c r="C47" s="192"/>
      <c r="D47" s="191"/>
    </row>
  </sheetData>
  <sortState ref="A2:E43">
    <sortCondition ref="A2:A43"/>
  </sortState>
  <pageMargins left="0.7" right="0.7" top="0.75" bottom="0.75" header="0.3" footer="0.3"/>
  <pageSetup orientation="portrait" r:id="rId1"/>
  <headerFooter>
    <oddHeader>&amp;L&amp;16FY 2018
&amp;C&amp;18CHAP Payout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  <pageSetUpPr fitToPage="1"/>
  </sheetPr>
  <dimension ref="A1:E46"/>
  <sheetViews>
    <sheetView tabSelected="1" zoomScaleNormal="100" zoomScaleSheetLayoutView="90" workbookViewId="0">
      <selection activeCell="A45" sqref="A45"/>
    </sheetView>
  </sheetViews>
  <sheetFormatPr defaultColWidth="24.7109375" defaultRowHeight="15" x14ac:dyDescent="0.2"/>
  <cols>
    <col min="1" max="1" width="19.7109375" style="29" bestFit="1" customWidth="1"/>
    <col min="2" max="2" width="15" style="30" bestFit="1" customWidth="1"/>
    <col min="3" max="3" width="13.28515625" style="30" bestFit="1" customWidth="1"/>
    <col min="4" max="4" width="15" style="73" bestFit="1" customWidth="1"/>
    <col min="5" max="5" width="18.28515625" style="31" bestFit="1" customWidth="1"/>
    <col min="6" max="16384" width="24.7109375" style="19"/>
  </cols>
  <sheetData>
    <row r="1" spans="1:5" s="159" customFormat="1" ht="30.75" thickBot="1" x14ac:dyDescent="0.3">
      <c r="A1" s="156" t="s">
        <v>56</v>
      </c>
      <c r="B1" s="157" t="s">
        <v>57</v>
      </c>
      <c r="C1" s="157"/>
      <c r="D1" s="157" t="s">
        <v>58</v>
      </c>
      <c r="E1" s="158" t="s">
        <v>73</v>
      </c>
    </row>
    <row r="2" spans="1:5" x14ac:dyDescent="0.2">
      <c r="A2" s="21" t="s">
        <v>5</v>
      </c>
      <c r="B2" s="22">
        <v>107</v>
      </c>
      <c r="C2" s="22">
        <f>B2/$B$44</f>
        <v>5.3904282115869021E-2</v>
      </c>
      <c r="D2" s="69">
        <f>C2*$B$45</f>
        <v>83598.205727959692</v>
      </c>
      <c r="E2" s="23">
        <f>B2*$B$46</f>
        <v>83598.205727959692</v>
      </c>
    </row>
    <row r="3" spans="1:5" x14ac:dyDescent="0.2">
      <c r="A3" s="24" t="s">
        <v>6</v>
      </c>
      <c r="B3" s="25">
        <v>51</v>
      </c>
      <c r="C3" s="25">
        <f t="shared" ref="C3:C43" si="0">B3/$B$44</f>
        <v>2.5692695214105794E-2</v>
      </c>
      <c r="D3" s="69">
        <f t="shared" ref="D3:D43" si="1">C3*$B$45</f>
        <v>39845.873758186397</v>
      </c>
      <c r="E3" s="26">
        <f t="shared" ref="E3:E43" si="2">B3*$B$46</f>
        <v>39845.873758186397</v>
      </c>
    </row>
    <row r="4" spans="1:5" x14ac:dyDescent="0.2">
      <c r="A4" s="24" t="s">
        <v>7</v>
      </c>
      <c r="B4" s="25">
        <v>60</v>
      </c>
      <c r="C4" s="25">
        <f t="shared" si="0"/>
        <v>3.0226700251889168E-2</v>
      </c>
      <c r="D4" s="69">
        <f t="shared" si="1"/>
        <v>46877.498539042819</v>
      </c>
      <c r="E4" s="26">
        <f t="shared" si="2"/>
        <v>46877.498539042819</v>
      </c>
    </row>
    <row r="5" spans="1:5" x14ac:dyDescent="0.2">
      <c r="A5" s="24" t="s">
        <v>8</v>
      </c>
      <c r="B5" s="25">
        <v>34</v>
      </c>
      <c r="C5" s="25">
        <f t="shared" si="0"/>
        <v>1.712846347607053E-2</v>
      </c>
      <c r="D5" s="69">
        <f t="shared" si="1"/>
        <v>26563.915838790934</v>
      </c>
      <c r="E5" s="26">
        <f t="shared" si="2"/>
        <v>26563.915838790934</v>
      </c>
    </row>
    <row r="6" spans="1:5" x14ac:dyDescent="0.2">
      <c r="A6" s="24" t="s">
        <v>9</v>
      </c>
      <c r="B6" s="25">
        <v>29</v>
      </c>
      <c r="C6" s="25">
        <f t="shared" si="0"/>
        <v>1.4609571788413099E-2</v>
      </c>
      <c r="D6" s="69">
        <f t="shared" si="1"/>
        <v>22657.457627204029</v>
      </c>
      <c r="E6" s="26">
        <f t="shared" si="2"/>
        <v>22657.457627204032</v>
      </c>
    </row>
    <row r="7" spans="1:5" x14ac:dyDescent="0.2">
      <c r="A7" s="24" t="s">
        <v>10</v>
      </c>
      <c r="B7" s="25">
        <v>99</v>
      </c>
      <c r="C7" s="25">
        <f t="shared" si="0"/>
        <v>4.9874055415617131E-2</v>
      </c>
      <c r="D7" s="69">
        <f t="shared" si="1"/>
        <v>77347.872589420658</v>
      </c>
      <c r="E7" s="26">
        <f t="shared" si="2"/>
        <v>77347.872589420658</v>
      </c>
    </row>
    <row r="8" spans="1:5" x14ac:dyDescent="0.2">
      <c r="A8" s="24" t="s">
        <v>11</v>
      </c>
      <c r="B8" s="25">
        <v>51</v>
      </c>
      <c r="C8" s="25">
        <f t="shared" si="0"/>
        <v>2.5692695214105794E-2</v>
      </c>
      <c r="D8" s="69">
        <f t="shared" si="1"/>
        <v>39845.873758186397</v>
      </c>
      <c r="E8" s="26">
        <f t="shared" si="2"/>
        <v>39845.873758186397</v>
      </c>
    </row>
    <row r="9" spans="1:5" x14ac:dyDescent="0.2">
      <c r="A9" s="24" t="s">
        <v>12</v>
      </c>
      <c r="B9" s="25">
        <v>62</v>
      </c>
      <c r="C9" s="25">
        <f t="shared" si="0"/>
        <v>3.1234256926952142E-2</v>
      </c>
      <c r="D9" s="69">
        <f t="shared" si="1"/>
        <v>48440.081823677581</v>
      </c>
      <c r="E9" s="26">
        <f t="shared" si="2"/>
        <v>48440.081823677581</v>
      </c>
    </row>
    <row r="10" spans="1:5" x14ac:dyDescent="0.2">
      <c r="A10" s="24" t="s">
        <v>13</v>
      </c>
      <c r="B10" s="25">
        <v>34</v>
      </c>
      <c r="C10" s="25">
        <f t="shared" si="0"/>
        <v>1.712846347607053E-2</v>
      </c>
      <c r="D10" s="69">
        <f t="shared" si="1"/>
        <v>26563.915838790934</v>
      </c>
      <c r="E10" s="26">
        <f t="shared" si="2"/>
        <v>26563.915838790934</v>
      </c>
    </row>
    <row r="11" spans="1:5" x14ac:dyDescent="0.2">
      <c r="A11" s="24" t="s">
        <v>14</v>
      </c>
      <c r="B11" s="25">
        <v>156</v>
      </c>
      <c r="C11" s="25">
        <f t="shared" si="0"/>
        <v>7.858942065491184E-2</v>
      </c>
      <c r="D11" s="69">
        <f t="shared" si="1"/>
        <v>121881.49620151133</v>
      </c>
      <c r="E11" s="26">
        <f t="shared" si="2"/>
        <v>121881.49620151134</v>
      </c>
    </row>
    <row r="12" spans="1:5" x14ac:dyDescent="0.2">
      <c r="A12" s="24" t="s">
        <v>15</v>
      </c>
      <c r="B12" s="25">
        <v>61</v>
      </c>
      <c r="C12" s="25">
        <f t="shared" si="0"/>
        <v>3.0730478589420653E-2</v>
      </c>
      <c r="D12" s="69">
        <f t="shared" si="1"/>
        <v>47658.790181360193</v>
      </c>
      <c r="E12" s="26">
        <f t="shared" si="2"/>
        <v>47658.7901813602</v>
      </c>
    </row>
    <row r="13" spans="1:5" x14ac:dyDescent="0.2">
      <c r="A13" s="24" t="s">
        <v>16</v>
      </c>
      <c r="B13" s="25">
        <v>71</v>
      </c>
      <c r="C13" s="25">
        <f t="shared" si="0"/>
        <v>3.5768261964735516E-2</v>
      </c>
      <c r="D13" s="69">
        <f t="shared" si="1"/>
        <v>55471.706604534003</v>
      </c>
      <c r="E13" s="26">
        <f t="shared" si="2"/>
        <v>55471.706604534003</v>
      </c>
    </row>
    <row r="14" spans="1:5" x14ac:dyDescent="0.2">
      <c r="A14" s="24" t="s">
        <v>17</v>
      </c>
      <c r="B14" s="25">
        <v>45</v>
      </c>
      <c r="C14" s="25">
        <f t="shared" si="0"/>
        <v>2.2670025188916875E-2</v>
      </c>
      <c r="D14" s="69">
        <f t="shared" si="1"/>
        <v>35158.123904282111</v>
      </c>
      <c r="E14" s="26">
        <f t="shared" si="2"/>
        <v>35158.123904282118</v>
      </c>
    </row>
    <row r="15" spans="1:5" x14ac:dyDescent="0.2">
      <c r="A15" s="24" t="s">
        <v>18</v>
      </c>
      <c r="B15" s="27">
        <v>54</v>
      </c>
      <c r="C15" s="27">
        <f t="shared" si="0"/>
        <v>2.7204030226700253E-2</v>
      </c>
      <c r="D15" s="69">
        <f t="shared" si="1"/>
        <v>42189.74868513854</v>
      </c>
      <c r="E15" s="28">
        <f t="shared" si="2"/>
        <v>42189.74868513854</v>
      </c>
    </row>
    <row r="16" spans="1:5" x14ac:dyDescent="0.2">
      <c r="A16" s="24" t="s">
        <v>19</v>
      </c>
      <c r="B16" s="27">
        <v>55</v>
      </c>
      <c r="C16" s="27">
        <f t="shared" si="0"/>
        <v>2.7707808564231738E-2</v>
      </c>
      <c r="D16" s="69">
        <f t="shared" si="1"/>
        <v>42971.040327455914</v>
      </c>
      <c r="E16" s="28">
        <f t="shared" si="2"/>
        <v>42971.040327455921</v>
      </c>
    </row>
    <row r="17" spans="1:5" x14ac:dyDescent="0.2">
      <c r="A17" s="24" t="s">
        <v>20</v>
      </c>
      <c r="B17" s="27">
        <v>23</v>
      </c>
      <c r="C17" s="27">
        <f t="shared" si="0"/>
        <v>1.1586901763224182E-2</v>
      </c>
      <c r="D17" s="69">
        <f t="shared" si="1"/>
        <v>17969.70777329975</v>
      </c>
      <c r="E17" s="28">
        <f t="shared" si="2"/>
        <v>17969.70777329975</v>
      </c>
    </row>
    <row r="18" spans="1:5" ht="15.75" x14ac:dyDescent="0.25">
      <c r="A18" s="116" t="s">
        <v>90</v>
      </c>
      <c r="B18" s="27">
        <v>6</v>
      </c>
      <c r="C18" s="27">
        <f t="shared" si="0"/>
        <v>3.0226700251889168E-3</v>
      </c>
      <c r="D18" s="69">
        <f t="shared" si="1"/>
        <v>4687.7498539042817</v>
      </c>
      <c r="E18" s="28">
        <f t="shared" si="2"/>
        <v>4687.7498539042826</v>
      </c>
    </row>
    <row r="19" spans="1:5" ht="15.75" x14ac:dyDescent="0.25">
      <c r="A19" s="116" t="s">
        <v>99</v>
      </c>
      <c r="B19" s="27">
        <v>32</v>
      </c>
      <c r="C19" s="27">
        <f t="shared" si="0"/>
        <v>1.6120906801007556E-2</v>
      </c>
      <c r="D19" s="69">
        <f t="shared" si="1"/>
        <v>25001.332554156168</v>
      </c>
      <c r="E19" s="28">
        <f t="shared" si="2"/>
        <v>25001.332554156172</v>
      </c>
    </row>
    <row r="20" spans="1:5" x14ac:dyDescent="0.2">
      <c r="A20" s="24" t="s">
        <v>21</v>
      </c>
      <c r="B20" s="27">
        <v>46</v>
      </c>
      <c r="C20" s="27">
        <f t="shared" si="0"/>
        <v>2.3173803526448364E-2</v>
      </c>
      <c r="D20" s="69">
        <f t="shared" si="1"/>
        <v>35939.415546599499</v>
      </c>
      <c r="E20" s="28">
        <f t="shared" si="2"/>
        <v>35939.415546599499</v>
      </c>
    </row>
    <row r="21" spans="1:5" x14ac:dyDescent="0.2">
      <c r="A21" s="24" t="s">
        <v>22</v>
      </c>
      <c r="B21" s="27">
        <v>30</v>
      </c>
      <c r="C21" s="27">
        <f t="shared" si="0"/>
        <v>1.5113350125944584E-2</v>
      </c>
      <c r="D21" s="69">
        <f t="shared" si="1"/>
        <v>23438.74926952141</v>
      </c>
      <c r="E21" s="28">
        <f t="shared" si="2"/>
        <v>23438.74926952141</v>
      </c>
    </row>
    <row r="22" spans="1:5" x14ac:dyDescent="0.2">
      <c r="A22" s="24" t="s">
        <v>23</v>
      </c>
      <c r="B22" s="27">
        <v>76</v>
      </c>
      <c r="C22" s="27">
        <f t="shared" si="0"/>
        <v>3.828715365239295E-2</v>
      </c>
      <c r="D22" s="69">
        <f t="shared" si="1"/>
        <v>59378.164816120909</v>
      </c>
      <c r="E22" s="28">
        <f t="shared" si="2"/>
        <v>59378.164816120909</v>
      </c>
    </row>
    <row r="23" spans="1:5" x14ac:dyDescent="0.2">
      <c r="A23" s="24" t="s">
        <v>24</v>
      </c>
      <c r="B23" s="27">
        <v>56</v>
      </c>
      <c r="C23" s="27">
        <f t="shared" si="0"/>
        <v>2.8211586901763223E-2</v>
      </c>
      <c r="D23" s="69">
        <f t="shared" si="1"/>
        <v>43752.331969773295</v>
      </c>
      <c r="E23" s="28">
        <f t="shared" si="2"/>
        <v>43752.331969773302</v>
      </c>
    </row>
    <row r="24" spans="1:5" x14ac:dyDescent="0.2">
      <c r="A24" s="24" t="s">
        <v>25</v>
      </c>
      <c r="B24" s="27">
        <v>47</v>
      </c>
      <c r="C24" s="27">
        <f t="shared" si="0"/>
        <v>2.3677581863979849E-2</v>
      </c>
      <c r="D24" s="69">
        <f t="shared" si="1"/>
        <v>36720.707188916873</v>
      </c>
      <c r="E24" s="28">
        <f t="shared" si="2"/>
        <v>36720.70718891688</v>
      </c>
    </row>
    <row r="25" spans="1:5" x14ac:dyDescent="0.2">
      <c r="A25" s="24" t="s">
        <v>26</v>
      </c>
      <c r="B25" s="27">
        <v>27</v>
      </c>
      <c r="C25" s="27">
        <f t="shared" si="0"/>
        <v>1.3602015113350126E-2</v>
      </c>
      <c r="D25" s="69">
        <f t="shared" si="1"/>
        <v>21094.87434256927</v>
      </c>
      <c r="E25" s="28">
        <f t="shared" si="2"/>
        <v>21094.87434256927</v>
      </c>
    </row>
    <row r="26" spans="1:5" x14ac:dyDescent="0.2">
      <c r="A26" s="24" t="s">
        <v>27</v>
      </c>
      <c r="B26" s="27">
        <v>5</v>
      </c>
      <c r="C26" s="27">
        <f t="shared" si="0"/>
        <v>2.5188916876574307E-3</v>
      </c>
      <c r="D26" s="69">
        <f t="shared" si="1"/>
        <v>3906.4582115869016</v>
      </c>
      <c r="E26" s="28">
        <f t="shared" si="2"/>
        <v>3906.4582115869016</v>
      </c>
    </row>
    <row r="27" spans="1:5" x14ac:dyDescent="0.2">
      <c r="A27" s="24" t="s">
        <v>28</v>
      </c>
      <c r="B27" s="27">
        <v>25</v>
      </c>
      <c r="C27" s="27">
        <f t="shared" si="0"/>
        <v>1.2594458438287154E-2</v>
      </c>
      <c r="D27" s="69">
        <f t="shared" si="1"/>
        <v>19532.291057934508</v>
      </c>
      <c r="E27" s="28">
        <f t="shared" si="2"/>
        <v>19532.291057934508</v>
      </c>
    </row>
    <row r="28" spans="1:5" x14ac:dyDescent="0.2">
      <c r="A28" s="24" t="s">
        <v>29</v>
      </c>
      <c r="B28" s="27">
        <v>64</v>
      </c>
      <c r="C28" s="27">
        <f t="shared" si="0"/>
        <v>3.2241813602015112E-2</v>
      </c>
      <c r="D28" s="69">
        <f t="shared" si="1"/>
        <v>50002.665108312336</v>
      </c>
      <c r="E28" s="28">
        <f t="shared" si="2"/>
        <v>50002.665108312343</v>
      </c>
    </row>
    <row r="29" spans="1:5" x14ac:dyDescent="0.2">
      <c r="A29" s="24" t="s">
        <v>30</v>
      </c>
      <c r="B29" s="27">
        <v>1</v>
      </c>
      <c r="C29" s="27">
        <f t="shared" si="0"/>
        <v>5.0377833753148613E-4</v>
      </c>
      <c r="D29" s="69">
        <f t="shared" si="1"/>
        <v>781.29164231738025</v>
      </c>
      <c r="E29" s="28">
        <f t="shared" si="2"/>
        <v>781.29164231738037</v>
      </c>
    </row>
    <row r="30" spans="1:5" x14ac:dyDescent="0.2">
      <c r="A30" s="24" t="s">
        <v>31</v>
      </c>
      <c r="B30" s="27">
        <v>87</v>
      </c>
      <c r="C30" s="27">
        <f t="shared" si="0"/>
        <v>4.3828715365239294E-2</v>
      </c>
      <c r="D30" s="69">
        <f t="shared" si="1"/>
        <v>67972.372881612086</v>
      </c>
      <c r="E30" s="28">
        <f t="shared" si="2"/>
        <v>67972.372881612086</v>
      </c>
    </row>
    <row r="31" spans="1:5" x14ac:dyDescent="0.2">
      <c r="A31" s="24" t="s">
        <v>32</v>
      </c>
      <c r="B31" s="27">
        <v>12</v>
      </c>
      <c r="C31" s="27">
        <f t="shared" si="0"/>
        <v>6.0453400503778336E-3</v>
      </c>
      <c r="D31" s="69">
        <f t="shared" si="1"/>
        <v>9375.4997078085635</v>
      </c>
      <c r="E31" s="28">
        <f t="shared" si="2"/>
        <v>9375.4997078085653</v>
      </c>
    </row>
    <row r="32" spans="1:5" x14ac:dyDescent="0.2">
      <c r="A32" s="24" t="s">
        <v>33</v>
      </c>
      <c r="B32" s="27">
        <v>2</v>
      </c>
      <c r="C32" s="27">
        <f t="shared" si="0"/>
        <v>1.0075566750629723E-3</v>
      </c>
      <c r="D32" s="69">
        <f t="shared" si="1"/>
        <v>1562.5832846347605</v>
      </c>
      <c r="E32" s="28">
        <f t="shared" si="2"/>
        <v>1562.5832846347607</v>
      </c>
    </row>
    <row r="33" spans="1:5" x14ac:dyDescent="0.2">
      <c r="A33" s="24" t="s">
        <v>34</v>
      </c>
      <c r="B33" s="27">
        <v>98</v>
      </c>
      <c r="C33" s="27">
        <f t="shared" si="0"/>
        <v>4.9370277078085639E-2</v>
      </c>
      <c r="D33" s="69">
        <f t="shared" si="1"/>
        <v>76566.58094710327</v>
      </c>
      <c r="E33" s="28">
        <f t="shared" si="2"/>
        <v>76566.58094710327</v>
      </c>
    </row>
    <row r="34" spans="1:5" ht="15.75" x14ac:dyDescent="0.25">
      <c r="A34" s="116" t="s">
        <v>88</v>
      </c>
      <c r="B34" s="27">
        <v>6</v>
      </c>
      <c r="C34" s="27">
        <f t="shared" si="0"/>
        <v>3.0226700251889168E-3</v>
      </c>
      <c r="D34" s="69">
        <f t="shared" si="1"/>
        <v>4687.7498539042817</v>
      </c>
      <c r="E34" s="28">
        <f t="shared" si="2"/>
        <v>4687.7498539042826</v>
      </c>
    </row>
    <row r="35" spans="1:5" x14ac:dyDescent="0.2">
      <c r="A35" s="24" t="s">
        <v>45</v>
      </c>
      <c r="B35" s="27">
        <v>40</v>
      </c>
      <c r="C35" s="27">
        <f t="shared" si="0"/>
        <v>2.0151133501259445E-2</v>
      </c>
      <c r="D35" s="69">
        <f t="shared" si="1"/>
        <v>31251.665692695213</v>
      </c>
      <c r="E35" s="28">
        <f t="shared" si="2"/>
        <v>31251.665692695213</v>
      </c>
    </row>
    <row r="36" spans="1:5" x14ac:dyDescent="0.2">
      <c r="A36" s="24" t="s">
        <v>36</v>
      </c>
      <c r="B36" s="27">
        <v>51</v>
      </c>
      <c r="C36" s="27">
        <f t="shared" si="0"/>
        <v>2.5692695214105794E-2</v>
      </c>
      <c r="D36" s="69">
        <f t="shared" si="1"/>
        <v>39845.873758186397</v>
      </c>
      <c r="E36" s="28">
        <f t="shared" si="2"/>
        <v>39845.873758186397</v>
      </c>
    </row>
    <row r="37" spans="1:5" x14ac:dyDescent="0.2">
      <c r="A37" s="24" t="s">
        <v>35</v>
      </c>
      <c r="B37" s="27">
        <v>55</v>
      </c>
      <c r="C37" s="27">
        <f t="shared" si="0"/>
        <v>2.7707808564231738E-2</v>
      </c>
      <c r="D37" s="69">
        <f t="shared" si="1"/>
        <v>42971.040327455914</v>
      </c>
      <c r="E37" s="28">
        <f t="shared" si="2"/>
        <v>42971.040327455921</v>
      </c>
    </row>
    <row r="38" spans="1:5" ht="15.75" x14ac:dyDescent="0.25">
      <c r="A38" s="116" t="s">
        <v>89</v>
      </c>
      <c r="B38" s="27">
        <v>19</v>
      </c>
      <c r="C38" s="27">
        <f t="shared" si="0"/>
        <v>9.5717884130982374E-3</v>
      </c>
      <c r="D38" s="69">
        <f t="shared" si="1"/>
        <v>14844.541204030227</v>
      </c>
      <c r="E38" s="28">
        <f t="shared" si="2"/>
        <v>14844.541204030227</v>
      </c>
    </row>
    <row r="39" spans="1:5" x14ac:dyDescent="0.2">
      <c r="A39" s="24" t="s">
        <v>37</v>
      </c>
      <c r="B39" s="27">
        <v>45</v>
      </c>
      <c r="C39" s="27">
        <f t="shared" si="0"/>
        <v>2.2670025188916875E-2</v>
      </c>
      <c r="D39" s="69">
        <f t="shared" si="1"/>
        <v>35158.123904282111</v>
      </c>
      <c r="E39" s="28">
        <f t="shared" si="2"/>
        <v>35158.123904282118</v>
      </c>
    </row>
    <row r="40" spans="1:5" x14ac:dyDescent="0.2">
      <c r="A40" s="24" t="s">
        <v>38</v>
      </c>
      <c r="B40" s="27">
        <v>56</v>
      </c>
      <c r="C40" s="27">
        <f t="shared" si="0"/>
        <v>2.8211586901763223E-2</v>
      </c>
      <c r="D40" s="69">
        <f t="shared" si="1"/>
        <v>43752.331969773295</v>
      </c>
      <c r="E40" s="28">
        <f t="shared" si="2"/>
        <v>43752.331969773302</v>
      </c>
    </row>
    <row r="41" spans="1:5" x14ac:dyDescent="0.2">
      <c r="A41" s="24" t="s">
        <v>39</v>
      </c>
      <c r="B41" s="27">
        <v>55</v>
      </c>
      <c r="C41" s="27">
        <f t="shared" si="0"/>
        <v>2.7707808564231738E-2</v>
      </c>
      <c r="D41" s="69">
        <f t="shared" si="1"/>
        <v>42971.040327455914</v>
      </c>
      <c r="E41" s="28">
        <f t="shared" si="2"/>
        <v>42971.040327455921</v>
      </c>
    </row>
    <row r="42" spans="1:5" x14ac:dyDescent="0.2">
      <c r="A42" s="24" t="s">
        <v>40</v>
      </c>
      <c r="B42" s="27">
        <v>28</v>
      </c>
      <c r="C42" s="27">
        <f t="shared" si="0"/>
        <v>1.4105793450881612E-2</v>
      </c>
      <c r="D42" s="69">
        <f t="shared" si="1"/>
        <v>21876.165984886647</v>
      </c>
      <c r="E42" s="28">
        <f t="shared" si="2"/>
        <v>21876.165984886651</v>
      </c>
    </row>
    <row r="43" spans="1:5" ht="16.5" thickBot="1" x14ac:dyDescent="0.3">
      <c r="A43" s="117" t="s">
        <v>100</v>
      </c>
      <c r="B43" s="114">
        <v>24</v>
      </c>
      <c r="C43" s="114">
        <f t="shared" si="0"/>
        <v>1.2090680100755667E-2</v>
      </c>
      <c r="D43" s="69">
        <f t="shared" si="1"/>
        <v>18750.999415617127</v>
      </c>
      <c r="E43" s="115">
        <f t="shared" si="2"/>
        <v>18750.999415617131</v>
      </c>
    </row>
    <row r="44" spans="1:5" ht="15.75" thickBot="1" x14ac:dyDescent="0.25">
      <c r="A44" s="20" t="s">
        <v>59</v>
      </c>
      <c r="B44" s="66">
        <f>SUM(B2:B43)</f>
        <v>1985</v>
      </c>
      <c r="C44" s="66">
        <f>SUM(C2:C43)</f>
        <v>0.99999999999999978</v>
      </c>
      <c r="D44" s="70">
        <f>SUM(D2:D43)</f>
        <v>1550863.91</v>
      </c>
      <c r="E44" s="67">
        <f>SUM(E2:E43)</f>
        <v>1550863.9100000001</v>
      </c>
    </row>
    <row r="45" spans="1:5" ht="15.75" thickBot="1" x14ac:dyDescent="0.25">
      <c r="A45" s="64" t="s">
        <v>115</v>
      </c>
      <c r="B45" s="68">
        <f>Budget!N11</f>
        <v>1550863.91</v>
      </c>
      <c r="C45" s="68"/>
      <c r="D45" s="71"/>
      <c r="E45" s="65"/>
    </row>
    <row r="46" spans="1:5" ht="15.75" thickBot="1" x14ac:dyDescent="0.25">
      <c r="A46" s="61" t="s">
        <v>60</v>
      </c>
      <c r="B46" s="62">
        <f>B45/B44</f>
        <v>781.29164231738037</v>
      </c>
      <c r="C46" s="62"/>
      <c r="D46" s="72"/>
      <c r="E46" s="63"/>
    </row>
  </sheetData>
  <sortState ref="A2:E43">
    <sortCondition ref="A2:A43"/>
  </sortState>
  <pageMargins left="0.7" right="0.7" top="0.75" bottom="0.75" header="0.3" footer="0.3"/>
  <pageSetup scale="98" orientation="portrait" r:id="rId1"/>
  <headerFooter>
    <oddHeader>&amp;L&amp;16FY 2018&amp;C&amp;18&amp;KFF0000LIHEAP&amp;K000000 Projected Budget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E23"/>
  <sheetViews>
    <sheetView view="pageLayout" zoomScaleNormal="100" zoomScaleSheetLayoutView="100" workbookViewId="0">
      <selection activeCell="D22" sqref="D22"/>
    </sheetView>
  </sheetViews>
  <sheetFormatPr defaultRowHeight="12.75" x14ac:dyDescent="0.2"/>
  <cols>
    <col min="1" max="1" width="9.5703125" style="9" bestFit="1" customWidth="1"/>
    <col min="2" max="3" width="12.5703125" style="11" bestFit="1" customWidth="1"/>
    <col min="4" max="4" width="13.28515625" style="11" bestFit="1" customWidth="1"/>
    <col min="5" max="5" width="13.28515625" style="12" bestFit="1" customWidth="1"/>
  </cols>
  <sheetData>
    <row r="1" spans="1:5" s="14" customFormat="1" ht="25.5" x14ac:dyDescent="0.2">
      <c r="A1" s="14" t="s">
        <v>102</v>
      </c>
      <c r="B1" s="15" t="s">
        <v>103</v>
      </c>
      <c r="C1" s="15" t="s">
        <v>104</v>
      </c>
      <c r="D1" s="15" t="s">
        <v>105</v>
      </c>
      <c r="E1" s="16" t="s">
        <v>106</v>
      </c>
    </row>
    <row r="2" spans="1:5" x14ac:dyDescent="0.2">
      <c r="A2" s="9">
        <v>1</v>
      </c>
      <c r="B2" s="11">
        <v>15060</v>
      </c>
      <c r="C2" s="11">
        <v>23400</v>
      </c>
      <c r="D2" s="11">
        <v>1255</v>
      </c>
      <c r="E2" s="17">
        <v>1950</v>
      </c>
    </row>
    <row r="3" spans="1:5" x14ac:dyDescent="0.2">
      <c r="A3" s="9">
        <v>2</v>
      </c>
      <c r="B3" s="11">
        <v>21130</v>
      </c>
      <c r="C3" s="11">
        <v>31695</v>
      </c>
      <c r="D3" s="11">
        <v>1761</v>
      </c>
      <c r="E3" s="17">
        <v>2641</v>
      </c>
    </row>
    <row r="4" spans="1:5" x14ac:dyDescent="0.2">
      <c r="A4" s="9">
        <v>3</v>
      </c>
      <c r="B4" s="11">
        <v>26660</v>
      </c>
      <c r="C4" s="11">
        <v>39990</v>
      </c>
      <c r="D4" s="11">
        <v>2222</v>
      </c>
      <c r="E4" s="17">
        <v>3332</v>
      </c>
    </row>
    <row r="5" spans="1:5" x14ac:dyDescent="0.2">
      <c r="A5" s="9">
        <v>4</v>
      </c>
      <c r="B5" s="11">
        <v>32190</v>
      </c>
      <c r="C5" s="11">
        <v>48285</v>
      </c>
      <c r="D5" s="11">
        <v>2683</v>
      </c>
      <c r="E5" s="17">
        <v>4023</v>
      </c>
    </row>
    <row r="6" spans="1:5" x14ac:dyDescent="0.2">
      <c r="A6" s="9">
        <v>5</v>
      </c>
      <c r="B6" s="11">
        <v>32720</v>
      </c>
      <c r="C6" s="11">
        <v>56580</v>
      </c>
      <c r="D6" s="11">
        <v>2727</v>
      </c>
      <c r="E6" s="17">
        <v>4715</v>
      </c>
    </row>
    <row r="7" spans="1:5" x14ac:dyDescent="0.2">
      <c r="A7" s="9">
        <v>6</v>
      </c>
      <c r="B7" s="11">
        <v>43250</v>
      </c>
      <c r="C7" s="11">
        <v>64875</v>
      </c>
      <c r="D7" s="11">
        <v>3604</v>
      </c>
      <c r="E7" s="17">
        <v>5406</v>
      </c>
    </row>
    <row r="8" spans="1:5" x14ac:dyDescent="0.2">
      <c r="A8" s="9">
        <v>7</v>
      </c>
      <c r="B8" s="11">
        <v>48780</v>
      </c>
      <c r="C8" s="11">
        <v>73170</v>
      </c>
      <c r="D8" s="11">
        <v>4065</v>
      </c>
      <c r="E8" s="17">
        <v>6097</v>
      </c>
    </row>
    <row r="9" spans="1:5" x14ac:dyDescent="0.2">
      <c r="A9" s="9">
        <v>8</v>
      </c>
      <c r="B9" s="11">
        <v>54310</v>
      </c>
      <c r="C9" s="11">
        <v>81465</v>
      </c>
      <c r="D9" s="11">
        <v>4526</v>
      </c>
      <c r="E9" s="17">
        <v>6788</v>
      </c>
    </row>
    <row r="10" spans="1:5" x14ac:dyDescent="0.2">
      <c r="A10" s="9">
        <v>9</v>
      </c>
      <c r="B10" s="11">
        <v>59840</v>
      </c>
      <c r="C10" s="11">
        <v>89760</v>
      </c>
      <c r="D10" s="11">
        <v>4987</v>
      </c>
      <c r="E10" s="17">
        <v>7480</v>
      </c>
    </row>
    <row r="11" spans="1:5" x14ac:dyDescent="0.2">
      <c r="A11" s="9">
        <v>10</v>
      </c>
      <c r="B11" s="11">
        <v>65370</v>
      </c>
      <c r="C11" s="11">
        <v>98055</v>
      </c>
      <c r="D11" s="11">
        <v>5448</v>
      </c>
      <c r="E11" s="17">
        <v>8171</v>
      </c>
    </row>
    <row r="12" spans="1:5" x14ac:dyDescent="0.2">
      <c r="A12" s="9">
        <v>11</v>
      </c>
      <c r="B12" s="11">
        <v>70900</v>
      </c>
      <c r="C12" s="11">
        <v>106350</v>
      </c>
      <c r="D12" s="11">
        <v>5908</v>
      </c>
      <c r="E12" s="17">
        <v>8862</v>
      </c>
    </row>
    <row r="13" spans="1:5" x14ac:dyDescent="0.2">
      <c r="A13" s="9">
        <v>12</v>
      </c>
      <c r="B13" s="11">
        <v>76430</v>
      </c>
      <c r="C13" s="11">
        <v>114645</v>
      </c>
      <c r="D13" s="11">
        <v>6369</v>
      </c>
      <c r="E13" s="17">
        <v>9553</v>
      </c>
    </row>
    <row r="14" spans="1:5" x14ac:dyDescent="0.2">
      <c r="A14" s="9">
        <v>13</v>
      </c>
      <c r="B14" s="11">
        <v>81960</v>
      </c>
      <c r="C14" s="11">
        <v>122940</v>
      </c>
      <c r="D14" s="11">
        <v>6808</v>
      </c>
      <c r="E14" s="17">
        <v>10245</v>
      </c>
    </row>
    <row r="15" spans="1:5" x14ac:dyDescent="0.2">
      <c r="A15" s="9">
        <v>14</v>
      </c>
      <c r="B15" s="11">
        <v>87490</v>
      </c>
      <c r="C15" s="11">
        <v>131235</v>
      </c>
      <c r="D15" s="11">
        <v>7291</v>
      </c>
      <c r="E15" s="17">
        <v>10936</v>
      </c>
    </row>
    <row r="16" spans="1:5" x14ac:dyDescent="0.2">
      <c r="A16" s="9">
        <v>15</v>
      </c>
      <c r="B16" s="11">
        <v>93020</v>
      </c>
      <c r="C16" s="11">
        <v>139530</v>
      </c>
      <c r="D16" s="11">
        <v>7752</v>
      </c>
      <c r="E16" s="17">
        <v>11627</v>
      </c>
    </row>
    <row r="17" spans="1:5" x14ac:dyDescent="0.2">
      <c r="A17" s="9">
        <v>16</v>
      </c>
      <c r="B17" s="11">
        <v>98500</v>
      </c>
      <c r="C17" s="11">
        <v>147825</v>
      </c>
      <c r="D17" s="11">
        <v>8208</v>
      </c>
      <c r="E17" s="17">
        <v>12318</v>
      </c>
    </row>
    <row r="18" spans="1:5" x14ac:dyDescent="0.2">
      <c r="A18" s="9">
        <v>17</v>
      </c>
      <c r="B18" s="11">
        <v>104080</v>
      </c>
      <c r="C18" s="11">
        <v>156120</v>
      </c>
      <c r="D18" s="11">
        <v>8673</v>
      </c>
      <c r="E18" s="17">
        <v>13010</v>
      </c>
    </row>
    <row r="19" spans="1:5" x14ac:dyDescent="0.2">
      <c r="A19" s="9">
        <v>18</v>
      </c>
      <c r="B19" s="11">
        <v>109610</v>
      </c>
      <c r="C19" s="11">
        <v>164415</v>
      </c>
      <c r="D19" s="11">
        <v>9134</v>
      </c>
      <c r="E19" s="17">
        <v>13701</v>
      </c>
    </row>
    <row r="20" spans="1:5" x14ac:dyDescent="0.2">
      <c r="A20" s="9">
        <v>19</v>
      </c>
      <c r="B20" s="11">
        <v>115140</v>
      </c>
      <c r="C20" s="11">
        <v>172710</v>
      </c>
      <c r="D20" s="11">
        <v>9595</v>
      </c>
      <c r="E20" s="17">
        <v>14392</v>
      </c>
    </row>
    <row r="21" spans="1:5" x14ac:dyDescent="0.2">
      <c r="A21" s="9">
        <v>20</v>
      </c>
      <c r="B21" s="11">
        <v>120670</v>
      </c>
      <c r="C21" s="11">
        <v>181005</v>
      </c>
      <c r="D21" s="11">
        <v>10056</v>
      </c>
      <c r="E21" s="17">
        <v>15083</v>
      </c>
    </row>
    <row r="23" spans="1:5" ht="31.5" customHeight="1" x14ac:dyDescent="0.2">
      <c r="A23" s="260" t="s">
        <v>124</v>
      </c>
      <c r="B23" s="261"/>
      <c r="C23" s="261"/>
      <c r="D23" s="261"/>
      <c r="E23" s="261"/>
    </row>
  </sheetData>
  <mergeCells count="1">
    <mergeCell ref="A23:E23"/>
  </mergeCells>
  <pageMargins left="0.7" right="0.7" top="0.75" bottom="0.75" header="0.3" footer="0.3"/>
  <pageSetup orientation="portrait" r:id="rId1"/>
  <headerFooter>
    <oddHeader>&amp;L&amp;16 2020&amp;C&amp;18Federal Poverty Guidelines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  <pageSetUpPr fitToPage="1"/>
  </sheetPr>
  <dimension ref="A1:V30"/>
  <sheetViews>
    <sheetView view="pageLayout" zoomScaleNormal="100" zoomScaleSheetLayoutView="115" workbookViewId="0">
      <selection activeCell="D5" sqref="D5"/>
    </sheetView>
  </sheetViews>
  <sheetFormatPr defaultRowHeight="12.75" x14ac:dyDescent="0.2"/>
  <cols>
    <col min="1" max="1" width="4.5703125" style="185" bestFit="1" customWidth="1"/>
    <col min="2" max="2" width="9.140625" style="7"/>
    <col min="3" max="3" width="1.5703125" customWidth="1"/>
    <col min="4" max="4" width="8.7109375" customWidth="1"/>
    <col min="5" max="5" width="1.5703125" style="9" customWidth="1"/>
    <col min="6" max="6" width="8.7109375" customWidth="1"/>
    <col min="7" max="7" width="3.28515625" customWidth="1"/>
    <col min="8" max="8" width="1.5703125" customWidth="1"/>
    <col min="9" max="9" width="8.7109375" customWidth="1"/>
    <col min="10" max="10" width="1.5703125" style="9" customWidth="1"/>
    <col min="11" max="11" width="9.5703125" bestFit="1" customWidth="1"/>
    <col min="12" max="12" width="3.28515625" customWidth="1"/>
    <col min="13" max="13" width="1.5703125" customWidth="1"/>
    <col min="14" max="14" width="8.7109375" customWidth="1"/>
    <col min="15" max="15" width="1.5703125" style="9" customWidth="1"/>
    <col min="16" max="16" width="9.5703125" bestFit="1" customWidth="1"/>
    <col min="17" max="17" width="3.28515625" customWidth="1"/>
    <col min="18" max="18" width="1.5703125" customWidth="1"/>
    <col min="19" max="19" width="8.7109375" customWidth="1"/>
    <col min="20" max="20" width="1.5703125" style="9" customWidth="1"/>
    <col min="21" max="21" width="9.5703125" bestFit="1" customWidth="1"/>
    <col min="22" max="22" width="1.5703125" customWidth="1"/>
  </cols>
  <sheetData>
    <row r="1" spans="1:22" x14ac:dyDescent="0.2">
      <c r="A1" s="184"/>
      <c r="B1" s="1"/>
      <c r="C1" s="2"/>
      <c r="D1" s="2"/>
      <c r="E1" s="3"/>
      <c r="F1" s="2"/>
      <c r="G1" s="2"/>
      <c r="H1" s="2"/>
      <c r="I1" s="2"/>
      <c r="J1" s="3"/>
      <c r="K1" s="2"/>
      <c r="L1" s="2"/>
      <c r="M1" s="2"/>
      <c r="N1" s="2"/>
      <c r="O1" s="3"/>
      <c r="P1" s="2"/>
      <c r="Q1" s="2"/>
      <c r="R1" s="2"/>
      <c r="S1" s="2"/>
      <c r="T1" s="3"/>
      <c r="U1" s="2"/>
      <c r="V1" s="2"/>
    </row>
    <row r="2" spans="1:22" s="188" customFormat="1" x14ac:dyDescent="0.2">
      <c r="A2" s="184" t="s">
        <v>108</v>
      </c>
      <c r="B2" s="186"/>
      <c r="C2" s="187"/>
      <c r="D2" s="187">
        <v>1</v>
      </c>
      <c r="E2" s="184"/>
      <c r="F2" s="187"/>
      <c r="G2" s="187"/>
      <c r="H2" s="187"/>
      <c r="I2" s="187">
        <v>2</v>
      </c>
      <c r="J2" s="184"/>
      <c r="K2" s="187"/>
      <c r="L2" s="187"/>
      <c r="M2" s="187"/>
      <c r="N2" s="187">
        <v>3</v>
      </c>
      <c r="O2" s="184"/>
      <c r="P2" s="187"/>
      <c r="Q2" s="187"/>
      <c r="R2" s="187"/>
      <c r="S2" s="187">
        <v>4</v>
      </c>
      <c r="T2" s="184"/>
      <c r="U2" s="187"/>
      <c r="V2" s="187"/>
    </row>
    <row r="3" spans="1:22" x14ac:dyDescent="0.2">
      <c r="A3" s="184">
        <v>1</v>
      </c>
      <c r="B3" s="4" t="s">
        <v>0</v>
      </c>
      <c r="C3" s="2"/>
      <c r="D3" s="5">
        <v>0</v>
      </c>
      <c r="E3" s="3" t="s">
        <v>1</v>
      </c>
      <c r="F3" s="6">
        <v>11385</v>
      </c>
      <c r="G3" s="2"/>
      <c r="H3" s="2"/>
      <c r="I3" s="5">
        <v>0</v>
      </c>
      <c r="J3" s="3" t="s">
        <v>1</v>
      </c>
      <c r="K3" s="6">
        <v>15435</v>
      </c>
      <c r="L3" s="2"/>
      <c r="M3" s="2"/>
      <c r="N3" s="5">
        <v>0</v>
      </c>
      <c r="O3" s="3" t="s">
        <v>1</v>
      </c>
      <c r="P3" s="6">
        <v>19485</v>
      </c>
      <c r="Q3" s="2"/>
      <c r="R3" s="2"/>
      <c r="S3" s="5">
        <v>0</v>
      </c>
      <c r="T3" s="3" t="s">
        <v>1</v>
      </c>
      <c r="U3" s="6">
        <f>ROUNDDOWN((U4*0.75),0)</f>
        <v>23535</v>
      </c>
      <c r="V3" s="2"/>
    </row>
    <row r="4" spans="1:22" ht="15" x14ac:dyDescent="0.25">
      <c r="A4" s="185">
        <v>2</v>
      </c>
      <c r="B4" s="7" t="s">
        <v>2</v>
      </c>
      <c r="D4" s="8">
        <f t="shared" ref="D4:D6" si="0">F3+1</f>
        <v>11386</v>
      </c>
      <c r="E4" s="9" t="s">
        <v>1</v>
      </c>
      <c r="F4" s="137">
        <v>15180</v>
      </c>
      <c r="I4" s="8">
        <f t="shared" ref="I4:I6" si="1">K3+1</f>
        <v>15436</v>
      </c>
      <c r="J4" s="9" t="s">
        <v>1</v>
      </c>
      <c r="K4" s="137">
        <v>20580</v>
      </c>
      <c r="N4" s="8">
        <f t="shared" ref="N4:N6" si="2">P3+1</f>
        <v>19486</v>
      </c>
      <c r="O4" s="9" t="s">
        <v>1</v>
      </c>
      <c r="P4" s="137">
        <v>25980</v>
      </c>
      <c r="S4" s="8">
        <f t="shared" ref="S4:S6" si="3">U3+1</f>
        <v>23536</v>
      </c>
      <c r="T4" s="9" t="s">
        <v>1</v>
      </c>
      <c r="U4" s="137">
        <v>31380</v>
      </c>
    </row>
    <row r="5" spans="1:22" x14ac:dyDescent="0.2">
      <c r="A5" s="184">
        <v>3</v>
      </c>
      <c r="B5" s="4" t="s">
        <v>3</v>
      </c>
      <c r="C5" s="2"/>
      <c r="D5" s="6">
        <f t="shared" si="0"/>
        <v>15181</v>
      </c>
      <c r="E5" s="3" t="s">
        <v>1</v>
      </c>
      <c r="F5" s="6">
        <f>ROUNDDOWN((F4*1.25),0)</f>
        <v>18975</v>
      </c>
      <c r="G5" s="2"/>
      <c r="H5" s="2"/>
      <c r="I5" s="6">
        <f t="shared" si="1"/>
        <v>20581</v>
      </c>
      <c r="J5" s="3" t="s">
        <v>1</v>
      </c>
      <c r="K5" s="6">
        <f>ROUNDDOWN((K4*1.25),0)</f>
        <v>25725</v>
      </c>
      <c r="L5" s="2"/>
      <c r="M5" s="2"/>
      <c r="N5" s="6">
        <f t="shared" si="2"/>
        <v>25981</v>
      </c>
      <c r="O5" s="3" t="s">
        <v>1</v>
      </c>
      <c r="P5" s="6">
        <f>ROUNDDOWN((P4*1.25),0)</f>
        <v>32475</v>
      </c>
      <c r="Q5" s="2"/>
      <c r="R5" s="2"/>
      <c r="S5" s="6">
        <f t="shared" si="3"/>
        <v>31381</v>
      </c>
      <c r="T5" s="3" t="s">
        <v>1</v>
      </c>
      <c r="U5" s="6">
        <f>ROUNDDOWN((U4*1.25),0)</f>
        <v>39225</v>
      </c>
      <c r="V5" s="2"/>
    </row>
    <row r="6" spans="1:22" x14ac:dyDescent="0.2">
      <c r="A6" s="185">
        <v>4</v>
      </c>
      <c r="B6" s="7" t="s">
        <v>4</v>
      </c>
      <c r="D6" s="8">
        <f t="shared" si="0"/>
        <v>18976</v>
      </c>
      <c r="E6" s="9" t="s">
        <v>1</v>
      </c>
      <c r="F6" s="8">
        <f>ROUNDDOWN((F4*1.5),0)</f>
        <v>22770</v>
      </c>
      <c r="I6" s="8">
        <f t="shared" si="1"/>
        <v>25726</v>
      </c>
      <c r="J6" s="9" t="s">
        <v>1</v>
      </c>
      <c r="K6" s="8">
        <f>ROUNDDOWN((K4*1.5),0)</f>
        <v>30870</v>
      </c>
      <c r="N6" s="8">
        <f t="shared" si="2"/>
        <v>32476</v>
      </c>
      <c r="O6" s="9" t="s">
        <v>1</v>
      </c>
      <c r="P6" s="8">
        <f>ROUNDDOWN((P4*1.5),0)</f>
        <v>38970</v>
      </c>
      <c r="S6" s="8">
        <f t="shared" si="3"/>
        <v>39226</v>
      </c>
      <c r="T6" s="9" t="s">
        <v>1</v>
      </c>
      <c r="U6" s="8">
        <f>ROUNDDOWN((U4*1.5),0)</f>
        <v>47070</v>
      </c>
    </row>
    <row r="8" spans="1:22" s="188" customFormat="1" x14ac:dyDescent="0.2">
      <c r="A8" s="184" t="s">
        <v>108</v>
      </c>
      <c r="B8" s="189"/>
      <c r="C8" s="187"/>
      <c r="D8" s="187">
        <v>5</v>
      </c>
      <c r="E8" s="184"/>
      <c r="F8" s="187"/>
      <c r="G8" s="187"/>
      <c r="H8" s="187"/>
      <c r="I8" s="187">
        <v>6</v>
      </c>
      <c r="J8" s="184"/>
      <c r="K8" s="187"/>
      <c r="L8" s="187"/>
      <c r="M8" s="187"/>
      <c r="N8" s="187">
        <v>7</v>
      </c>
      <c r="O8" s="184"/>
      <c r="P8" s="187"/>
      <c r="Q8" s="187"/>
      <c r="R8" s="187"/>
      <c r="S8" s="187">
        <v>8</v>
      </c>
      <c r="T8" s="184"/>
      <c r="U8" s="187"/>
      <c r="V8" s="187"/>
    </row>
    <row r="9" spans="1:22" x14ac:dyDescent="0.2">
      <c r="A9" s="184">
        <v>1</v>
      </c>
      <c r="B9" s="4" t="s">
        <v>0</v>
      </c>
      <c r="C9" s="2"/>
      <c r="D9" s="5">
        <v>0</v>
      </c>
      <c r="E9" s="3" t="s">
        <v>1</v>
      </c>
      <c r="F9" s="6">
        <f>ROUNDDOWN((F10*0.75),0)</f>
        <v>27585</v>
      </c>
      <c r="G9" s="2"/>
      <c r="H9" s="2"/>
      <c r="I9" s="5">
        <v>0</v>
      </c>
      <c r="J9" s="3" t="s">
        <v>1</v>
      </c>
      <c r="K9" s="6">
        <f>ROUNDDOWN((K10*0.75),0)</f>
        <v>31635</v>
      </c>
      <c r="L9" s="2"/>
      <c r="M9" s="2"/>
      <c r="N9" s="5">
        <v>0</v>
      </c>
      <c r="O9" s="3" t="s">
        <v>1</v>
      </c>
      <c r="P9" s="6">
        <f>ROUNDDOWN((P10*0.75),0)</f>
        <v>35685</v>
      </c>
      <c r="Q9" s="2"/>
      <c r="R9" s="2"/>
      <c r="S9" s="5">
        <v>0</v>
      </c>
      <c r="T9" s="3" t="s">
        <v>1</v>
      </c>
      <c r="U9" s="6">
        <f>ROUNDDOWN((U10*0.75),0)</f>
        <v>39735</v>
      </c>
      <c r="V9" s="2"/>
    </row>
    <row r="10" spans="1:22" ht="15" x14ac:dyDescent="0.25">
      <c r="A10" s="185">
        <v>2</v>
      </c>
      <c r="B10" s="7" t="s">
        <v>2</v>
      </c>
      <c r="D10" s="8">
        <f t="shared" ref="D10:D12" si="4">F9+1</f>
        <v>27586</v>
      </c>
      <c r="E10" s="9" t="s">
        <v>1</v>
      </c>
      <c r="F10" s="137">
        <v>36780</v>
      </c>
      <c r="I10" s="8">
        <f t="shared" ref="I10:I12" si="5">K9+1</f>
        <v>31636</v>
      </c>
      <c r="J10" s="9" t="s">
        <v>1</v>
      </c>
      <c r="K10" s="137">
        <v>42180</v>
      </c>
      <c r="N10" s="8">
        <f t="shared" ref="N10:N12" si="6">P9+1</f>
        <v>35686</v>
      </c>
      <c r="O10" s="9" t="s">
        <v>1</v>
      </c>
      <c r="P10" s="137">
        <v>47580</v>
      </c>
      <c r="S10" s="8">
        <f t="shared" ref="S10:S12" si="7">U9+1</f>
        <v>39736</v>
      </c>
      <c r="T10" s="9" t="s">
        <v>1</v>
      </c>
      <c r="U10" s="137">
        <v>52980</v>
      </c>
    </row>
    <row r="11" spans="1:22" x14ac:dyDescent="0.2">
      <c r="A11" s="184">
        <v>3</v>
      </c>
      <c r="B11" s="4" t="s">
        <v>3</v>
      </c>
      <c r="C11" s="2"/>
      <c r="D11" s="6">
        <f t="shared" si="4"/>
        <v>36781</v>
      </c>
      <c r="E11" s="3" t="s">
        <v>1</v>
      </c>
      <c r="F11" s="6">
        <f>ROUNDDOWN((F10*1.25),0)</f>
        <v>45975</v>
      </c>
      <c r="G11" s="2"/>
      <c r="H11" s="2"/>
      <c r="I11" s="6">
        <f t="shared" si="5"/>
        <v>42181</v>
      </c>
      <c r="J11" s="3" t="s">
        <v>1</v>
      </c>
      <c r="K11" s="6">
        <f>ROUNDDOWN((K10*1.25),0)</f>
        <v>52725</v>
      </c>
      <c r="L11" s="2"/>
      <c r="M11" s="2"/>
      <c r="N11" s="6">
        <f t="shared" si="6"/>
        <v>47581</v>
      </c>
      <c r="O11" s="3" t="s">
        <v>1</v>
      </c>
      <c r="P11" s="6">
        <f>ROUNDDOWN((P10*1.25),0)</f>
        <v>59475</v>
      </c>
      <c r="Q11" s="2"/>
      <c r="R11" s="2"/>
      <c r="S11" s="6">
        <f t="shared" si="7"/>
        <v>52981</v>
      </c>
      <c r="T11" s="3" t="s">
        <v>1</v>
      </c>
      <c r="U11" s="6">
        <f>ROUNDDOWN((U10*1.25),0)</f>
        <v>66225</v>
      </c>
      <c r="V11" s="2"/>
    </row>
    <row r="12" spans="1:22" x14ac:dyDescent="0.2">
      <c r="A12" s="185">
        <v>4</v>
      </c>
      <c r="B12" s="7" t="s">
        <v>4</v>
      </c>
      <c r="D12" s="8">
        <f t="shared" si="4"/>
        <v>45976</v>
      </c>
      <c r="E12" s="9" t="s">
        <v>1</v>
      </c>
      <c r="F12" s="8">
        <f>ROUNDDOWN((F10*1.5),0)</f>
        <v>55170</v>
      </c>
      <c r="I12" s="8">
        <f t="shared" si="5"/>
        <v>52726</v>
      </c>
      <c r="J12" s="9" t="s">
        <v>1</v>
      </c>
      <c r="K12" s="8">
        <f>ROUNDDOWN((K10*1.5),0)</f>
        <v>63270</v>
      </c>
      <c r="N12" s="8">
        <f t="shared" si="6"/>
        <v>59476</v>
      </c>
      <c r="O12" s="9" t="s">
        <v>1</v>
      </c>
      <c r="P12" s="8">
        <f>ROUNDDOWN((P10*1.5),0)</f>
        <v>71370</v>
      </c>
      <c r="S12" s="8">
        <f t="shared" si="7"/>
        <v>66226</v>
      </c>
      <c r="T12" s="9" t="s">
        <v>1</v>
      </c>
      <c r="U12" s="8">
        <f>ROUNDDOWN((U10*1.5),0)</f>
        <v>79470</v>
      </c>
    </row>
    <row r="14" spans="1:22" s="188" customFormat="1" x14ac:dyDescent="0.2">
      <c r="A14" s="184" t="s">
        <v>108</v>
      </c>
      <c r="B14" s="189"/>
      <c r="C14" s="187"/>
      <c r="D14" s="187">
        <v>9</v>
      </c>
      <c r="E14" s="184"/>
      <c r="F14" s="187"/>
      <c r="G14" s="187"/>
      <c r="H14" s="187"/>
      <c r="I14" s="187">
        <v>10</v>
      </c>
      <c r="J14" s="184"/>
      <c r="K14" s="187"/>
      <c r="L14" s="187"/>
      <c r="M14" s="187"/>
      <c r="N14" s="187">
        <v>11</v>
      </c>
      <c r="O14" s="184"/>
      <c r="P14" s="187"/>
      <c r="Q14" s="187"/>
      <c r="R14" s="187"/>
      <c r="S14" s="187">
        <v>12</v>
      </c>
      <c r="T14" s="184"/>
      <c r="U14" s="187"/>
      <c r="V14" s="187"/>
    </row>
    <row r="15" spans="1:22" x14ac:dyDescent="0.2">
      <c r="A15" s="184">
        <v>1</v>
      </c>
      <c r="B15" s="4" t="s">
        <v>0</v>
      </c>
      <c r="C15" s="2"/>
      <c r="D15" s="5">
        <v>0</v>
      </c>
      <c r="E15" s="3" t="s">
        <v>1</v>
      </c>
      <c r="F15" s="6">
        <f>ROUNDDOWN((F16*0.75),0)</f>
        <v>43785</v>
      </c>
      <c r="G15" s="2"/>
      <c r="H15" s="2"/>
      <c r="I15" s="5">
        <v>0</v>
      </c>
      <c r="J15" s="3" t="s">
        <v>1</v>
      </c>
      <c r="K15" s="6">
        <f>ROUNDDOWN((K16*0.75),0)</f>
        <v>47835</v>
      </c>
      <c r="L15" s="2"/>
      <c r="M15" s="2"/>
      <c r="N15" s="5">
        <v>0</v>
      </c>
      <c r="O15" s="3" t="s">
        <v>1</v>
      </c>
      <c r="P15" s="6">
        <f>ROUNDDOWN((P16*0.75),0)</f>
        <v>51885</v>
      </c>
      <c r="Q15" s="2"/>
      <c r="R15" s="2"/>
      <c r="S15" s="5">
        <v>0</v>
      </c>
      <c r="T15" s="3" t="s">
        <v>1</v>
      </c>
      <c r="U15" s="6">
        <f>ROUNDDOWN((U16*0.75),0)</f>
        <v>55935</v>
      </c>
      <c r="V15" s="2"/>
    </row>
    <row r="16" spans="1:22" ht="15" x14ac:dyDescent="0.25">
      <c r="A16" s="185">
        <v>2</v>
      </c>
      <c r="B16" s="7" t="s">
        <v>2</v>
      </c>
      <c r="D16" s="8">
        <f t="shared" ref="D16:D18" si="8">F15+1</f>
        <v>43786</v>
      </c>
      <c r="E16" s="9" t="s">
        <v>1</v>
      </c>
      <c r="F16" s="137">
        <v>58380</v>
      </c>
      <c r="I16" s="8">
        <f t="shared" ref="I16:I18" si="9">K15+1</f>
        <v>47836</v>
      </c>
      <c r="J16" s="9" t="s">
        <v>1</v>
      </c>
      <c r="K16" s="137">
        <v>63780</v>
      </c>
      <c r="N16" s="8">
        <f t="shared" ref="N16:N18" si="10">P15+1</f>
        <v>51886</v>
      </c>
      <c r="O16" s="9" t="s">
        <v>1</v>
      </c>
      <c r="P16" s="137">
        <v>69180</v>
      </c>
      <c r="S16" s="8">
        <f t="shared" ref="S16:S18" si="11">U15+1</f>
        <v>55936</v>
      </c>
      <c r="T16" s="9" t="s">
        <v>1</v>
      </c>
      <c r="U16" s="137">
        <v>74580</v>
      </c>
    </row>
    <row r="17" spans="1:22" x14ac:dyDescent="0.2">
      <c r="A17" s="184">
        <v>3</v>
      </c>
      <c r="B17" s="4" t="s">
        <v>3</v>
      </c>
      <c r="C17" s="2"/>
      <c r="D17" s="6">
        <f t="shared" si="8"/>
        <v>58381</v>
      </c>
      <c r="E17" s="3" t="s">
        <v>1</v>
      </c>
      <c r="F17" s="6">
        <f>ROUNDDOWN((F16*1.25),0)</f>
        <v>72975</v>
      </c>
      <c r="G17" s="2"/>
      <c r="H17" s="2"/>
      <c r="I17" s="6">
        <f t="shared" si="9"/>
        <v>63781</v>
      </c>
      <c r="J17" s="3" t="s">
        <v>1</v>
      </c>
      <c r="K17" s="6">
        <f>ROUNDDOWN((K16*1.25),0)</f>
        <v>79725</v>
      </c>
      <c r="L17" s="2"/>
      <c r="M17" s="2"/>
      <c r="N17" s="6">
        <f t="shared" si="10"/>
        <v>69181</v>
      </c>
      <c r="O17" s="3" t="s">
        <v>1</v>
      </c>
      <c r="P17" s="6">
        <f>ROUNDDOWN((P16*1.25),0)</f>
        <v>86475</v>
      </c>
      <c r="Q17" s="2"/>
      <c r="R17" s="2"/>
      <c r="S17" s="6">
        <f t="shared" si="11"/>
        <v>74581</v>
      </c>
      <c r="T17" s="3" t="s">
        <v>1</v>
      </c>
      <c r="U17" s="6">
        <f>ROUNDDOWN((U16*1.25),0)</f>
        <v>93225</v>
      </c>
      <c r="V17" s="2"/>
    </row>
    <row r="18" spans="1:22" x14ac:dyDescent="0.2">
      <c r="A18" s="185">
        <v>4</v>
      </c>
      <c r="B18" s="7" t="s">
        <v>4</v>
      </c>
      <c r="D18" s="8">
        <f t="shared" si="8"/>
        <v>72976</v>
      </c>
      <c r="E18" s="9" t="s">
        <v>1</v>
      </c>
      <c r="F18" s="8">
        <f>ROUNDDOWN((F16*1.5),0)</f>
        <v>87570</v>
      </c>
      <c r="I18" s="8">
        <f t="shared" si="9"/>
        <v>79726</v>
      </c>
      <c r="J18" s="9" t="s">
        <v>1</v>
      </c>
      <c r="K18" s="8">
        <f>ROUNDDOWN((K16*1.5),0)</f>
        <v>95670</v>
      </c>
      <c r="N18" s="8">
        <f t="shared" si="10"/>
        <v>86476</v>
      </c>
      <c r="O18" s="9" t="s">
        <v>1</v>
      </c>
      <c r="P18" s="8">
        <f>ROUNDDOWN((P16*1.5),0)</f>
        <v>103770</v>
      </c>
      <c r="S18" s="8">
        <f t="shared" si="11"/>
        <v>93226</v>
      </c>
      <c r="T18" s="9" t="s">
        <v>1</v>
      </c>
      <c r="U18" s="8">
        <f>ROUNDDOWN((U16*1.5),0)</f>
        <v>111870</v>
      </c>
    </row>
    <row r="20" spans="1:22" s="188" customFormat="1" x14ac:dyDescent="0.2">
      <c r="A20" s="184" t="s">
        <v>108</v>
      </c>
      <c r="B20" s="189"/>
      <c r="C20" s="187"/>
      <c r="D20" s="187">
        <v>13</v>
      </c>
      <c r="E20" s="184"/>
      <c r="F20" s="187"/>
      <c r="G20" s="187"/>
      <c r="H20" s="187"/>
      <c r="I20" s="187">
        <v>14</v>
      </c>
      <c r="J20" s="184"/>
      <c r="K20" s="187"/>
      <c r="L20" s="187"/>
      <c r="M20" s="187"/>
      <c r="N20" s="187">
        <v>15</v>
      </c>
      <c r="O20" s="184"/>
      <c r="P20" s="187"/>
      <c r="Q20" s="187"/>
      <c r="R20" s="187"/>
      <c r="S20" s="187">
        <v>16</v>
      </c>
      <c r="T20" s="184"/>
      <c r="U20" s="187"/>
      <c r="V20" s="187"/>
    </row>
    <row r="21" spans="1:22" x14ac:dyDescent="0.2">
      <c r="A21" s="184">
        <v>1</v>
      </c>
      <c r="B21" s="4" t="s">
        <v>0</v>
      </c>
      <c r="C21" s="2"/>
      <c r="D21" s="5">
        <v>0</v>
      </c>
      <c r="E21" s="3" t="s">
        <v>1</v>
      </c>
      <c r="F21" s="6">
        <f>ROUNDDOWN((F22*0.75),0)</f>
        <v>59985</v>
      </c>
      <c r="G21" s="2"/>
      <c r="H21" s="2"/>
      <c r="I21" s="5">
        <v>0</v>
      </c>
      <c r="J21" s="3" t="s">
        <v>1</v>
      </c>
      <c r="K21" s="6">
        <f>ROUNDDOWN((K22*0.75),0)</f>
        <v>64035</v>
      </c>
      <c r="L21" s="2"/>
      <c r="M21" s="2"/>
      <c r="N21" s="5">
        <v>0</v>
      </c>
      <c r="O21" s="3" t="s">
        <v>1</v>
      </c>
      <c r="P21" s="6">
        <f>ROUNDDOWN((P22*0.75),0)</f>
        <v>68085</v>
      </c>
      <c r="Q21" s="2"/>
      <c r="R21" s="2"/>
      <c r="S21" s="5">
        <v>0</v>
      </c>
      <c r="T21" s="3" t="s">
        <v>1</v>
      </c>
      <c r="U21" s="6">
        <f>ROUNDDOWN((U22*0.75),0)</f>
        <v>72135</v>
      </c>
      <c r="V21" s="2"/>
    </row>
    <row r="22" spans="1:22" ht="15" x14ac:dyDescent="0.25">
      <c r="A22" s="185">
        <v>2</v>
      </c>
      <c r="B22" s="7" t="s">
        <v>2</v>
      </c>
      <c r="D22" s="8">
        <f t="shared" ref="D22:D24" si="12">F21+1</f>
        <v>59986</v>
      </c>
      <c r="E22" s="9" t="s">
        <v>1</v>
      </c>
      <c r="F22" s="137">
        <v>79980</v>
      </c>
      <c r="I22" s="8">
        <f t="shared" ref="I22:I24" si="13">K21+1</f>
        <v>64036</v>
      </c>
      <c r="J22" s="9" t="s">
        <v>1</v>
      </c>
      <c r="K22" s="137">
        <v>85380</v>
      </c>
      <c r="N22" s="8">
        <f t="shared" ref="N22:N24" si="14">P21+1</f>
        <v>68086</v>
      </c>
      <c r="O22" s="9" t="s">
        <v>1</v>
      </c>
      <c r="P22" s="137">
        <v>90780</v>
      </c>
      <c r="S22" s="8">
        <f t="shared" ref="S22:S24" si="15">U21+1</f>
        <v>72136</v>
      </c>
      <c r="T22" s="9" t="s">
        <v>1</v>
      </c>
      <c r="U22" s="137">
        <v>96180</v>
      </c>
    </row>
    <row r="23" spans="1:22" x14ac:dyDescent="0.2">
      <c r="A23" s="184">
        <v>3</v>
      </c>
      <c r="B23" s="4" t="s">
        <v>3</v>
      </c>
      <c r="C23" s="2"/>
      <c r="D23" s="6">
        <f t="shared" si="12"/>
        <v>79981</v>
      </c>
      <c r="E23" s="3" t="s">
        <v>1</v>
      </c>
      <c r="F23" s="6">
        <f>ROUNDDOWN((F22*1.25),0)</f>
        <v>99975</v>
      </c>
      <c r="G23" s="2"/>
      <c r="H23" s="2"/>
      <c r="I23" s="6">
        <f t="shared" si="13"/>
        <v>85381</v>
      </c>
      <c r="J23" s="3" t="s">
        <v>1</v>
      </c>
      <c r="K23" s="6">
        <f>ROUNDDOWN((K22*1.25),0)</f>
        <v>106725</v>
      </c>
      <c r="L23" s="2"/>
      <c r="M23" s="2"/>
      <c r="N23" s="6">
        <f t="shared" si="14"/>
        <v>90781</v>
      </c>
      <c r="O23" s="3" t="s">
        <v>1</v>
      </c>
      <c r="P23" s="6">
        <f>ROUNDDOWN((P22*1.25),0)</f>
        <v>113475</v>
      </c>
      <c r="Q23" s="2"/>
      <c r="R23" s="2"/>
      <c r="S23" s="6">
        <f t="shared" si="15"/>
        <v>96181</v>
      </c>
      <c r="T23" s="3" t="s">
        <v>1</v>
      </c>
      <c r="U23" s="6">
        <f>ROUNDDOWN((U22*1.25),0)</f>
        <v>120225</v>
      </c>
      <c r="V23" s="2"/>
    </row>
    <row r="24" spans="1:22" x14ac:dyDescent="0.2">
      <c r="A24" s="185">
        <v>4</v>
      </c>
      <c r="B24" s="7" t="s">
        <v>4</v>
      </c>
      <c r="D24" s="8">
        <f t="shared" si="12"/>
        <v>99976</v>
      </c>
      <c r="E24" s="9" t="s">
        <v>1</v>
      </c>
      <c r="F24" s="8">
        <f>ROUNDDOWN((F22*1.5),0)</f>
        <v>119970</v>
      </c>
      <c r="I24" s="8">
        <f t="shared" si="13"/>
        <v>106726</v>
      </c>
      <c r="J24" s="9" t="s">
        <v>1</v>
      </c>
      <c r="K24" s="8">
        <f>ROUNDDOWN((K22*1.5),0)</f>
        <v>128070</v>
      </c>
      <c r="N24" s="8">
        <f t="shared" si="14"/>
        <v>113476</v>
      </c>
      <c r="O24" s="9" t="s">
        <v>1</v>
      </c>
      <c r="P24" s="8">
        <f>ROUNDDOWN((P22*1.5),0)</f>
        <v>136170</v>
      </c>
      <c r="S24" s="8">
        <f t="shared" si="15"/>
        <v>120226</v>
      </c>
      <c r="T24" s="9" t="s">
        <v>1</v>
      </c>
      <c r="U24" s="8">
        <f>ROUNDDOWN((U22*1.5),0)</f>
        <v>144270</v>
      </c>
    </row>
    <row r="25" spans="1:22" x14ac:dyDescent="0.2">
      <c r="N25" s="10"/>
    </row>
    <row r="26" spans="1:22" s="188" customFormat="1" x14ac:dyDescent="0.2">
      <c r="A26" s="184" t="s">
        <v>108</v>
      </c>
      <c r="B26" s="189"/>
      <c r="C26" s="187"/>
      <c r="D26" s="187">
        <v>17</v>
      </c>
      <c r="E26" s="184"/>
      <c r="F26" s="187"/>
      <c r="G26" s="187"/>
      <c r="H26" s="187"/>
      <c r="I26" s="187">
        <v>18</v>
      </c>
      <c r="J26" s="184"/>
      <c r="K26" s="187"/>
      <c r="L26" s="187"/>
      <c r="M26" s="187"/>
      <c r="N26" s="187">
        <v>19</v>
      </c>
      <c r="O26" s="184"/>
      <c r="P26" s="187"/>
      <c r="Q26" s="187"/>
      <c r="R26" s="187"/>
      <c r="S26" s="187">
        <v>20</v>
      </c>
      <c r="T26" s="184"/>
      <c r="U26" s="187"/>
      <c r="V26" s="187"/>
    </row>
    <row r="27" spans="1:22" x14ac:dyDescent="0.2">
      <c r="A27" s="184">
        <v>1</v>
      </c>
      <c r="B27" s="4" t="s">
        <v>0</v>
      </c>
      <c r="C27" s="2"/>
      <c r="D27" s="5">
        <v>0</v>
      </c>
      <c r="E27" s="3" t="s">
        <v>1</v>
      </c>
      <c r="F27" s="6">
        <f>ROUNDDOWN((F28*0.75),0)</f>
        <v>76185</v>
      </c>
      <c r="G27" s="2"/>
      <c r="H27" s="2"/>
      <c r="I27" s="5">
        <v>0</v>
      </c>
      <c r="J27" s="3" t="s">
        <v>1</v>
      </c>
      <c r="K27" s="6">
        <f>ROUNDDOWN((K28*0.75),0)</f>
        <v>80235</v>
      </c>
      <c r="L27" s="2"/>
      <c r="M27" s="2"/>
      <c r="N27" s="5">
        <v>0</v>
      </c>
      <c r="O27" s="3" t="s">
        <v>1</v>
      </c>
      <c r="P27" s="6">
        <f>ROUNDDOWN((P28*0.75),0)</f>
        <v>84285</v>
      </c>
      <c r="Q27" s="2"/>
      <c r="R27" s="2"/>
      <c r="S27" s="5">
        <v>0</v>
      </c>
      <c r="T27" s="3" t="s">
        <v>1</v>
      </c>
      <c r="U27" s="6">
        <f>ROUNDDOWN((U28*0.75),0)</f>
        <v>88335</v>
      </c>
      <c r="V27" s="2"/>
    </row>
    <row r="28" spans="1:22" ht="15" x14ac:dyDescent="0.25">
      <c r="A28" s="185">
        <v>2</v>
      </c>
      <c r="B28" s="7" t="s">
        <v>2</v>
      </c>
      <c r="D28" s="8">
        <f t="shared" ref="D28:D30" si="16">F27+1</f>
        <v>76186</v>
      </c>
      <c r="E28" s="9" t="s">
        <v>1</v>
      </c>
      <c r="F28" s="137">
        <v>101580</v>
      </c>
      <c r="I28" s="8">
        <f t="shared" ref="I28:I30" si="17">K27+1</f>
        <v>80236</v>
      </c>
      <c r="J28" s="9" t="s">
        <v>1</v>
      </c>
      <c r="K28" s="137">
        <v>106980</v>
      </c>
      <c r="N28" s="8">
        <f t="shared" ref="N28:N30" si="18">P27+1</f>
        <v>84286</v>
      </c>
      <c r="O28" s="9" t="s">
        <v>1</v>
      </c>
      <c r="P28" s="137">
        <v>112380</v>
      </c>
      <c r="S28" s="8">
        <f t="shared" ref="S28:S30" si="19">U27+1</f>
        <v>88336</v>
      </c>
      <c r="T28" s="9" t="s">
        <v>1</v>
      </c>
      <c r="U28" s="137">
        <v>117780</v>
      </c>
    </row>
    <row r="29" spans="1:22" x14ac:dyDescent="0.2">
      <c r="A29" s="184">
        <v>3</v>
      </c>
      <c r="B29" s="4" t="s">
        <v>3</v>
      </c>
      <c r="C29" s="2"/>
      <c r="D29" s="6">
        <f t="shared" si="16"/>
        <v>101581</v>
      </c>
      <c r="E29" s="3" t="s">
        <v>1</v>
      </c>
      <c r="F29" s="6">
        <f>ROUNDDOWN((F28*1.25),0)</f>
        <v>126975</v>
      </c>
      <c r="G29" s="2"/>
      <c r="H29" s="2"/>
      <c r="I29" s="6">
        <f t="shared" si="17"/>
        <v>106981</v>
      </c>
      <c r="J29" s="3" t="s">
        <v>1</v>
      </c>
      <c r="K29" s="6">
        <f>ROUNDDOWN((K28*1.25),0)</f>
        <v>133725</v>
      </c>
      <c r="L29" s="2"/>
      <c r="M29" s="2"/>
      <c r="N29" s="6">
        <f t="shared" si="18"/>
        <v>112381</v>
      </c>
      <c r="O29" s="3" t="s">
        <v>1</v>
      </c>
      <c r="P29" s="6">
        <f>ROUNDDOWN((P28*1.25),0)</f>
        <v>140475</v>
      </c>
      <c r="Q29" s="2"/>
      <c r="R29" s="2"/>
      <c r="S29" s="6">
        <f t="shared" si="19"/>
        <v>117781</v>
      </c>
      <c r="T29" s="3" t="s">
        <v>1</v>
      </c>
      <c r="U29" s="6">
        <f>ROUNDDOWN((U28*1.25),0)</f>
        <v>147225</v>
      </c>
      <c r="V29" s="2"/>
    </row>
    <row r="30" spans="1:22" x14ac:dyDescent="0.2">
      <c r="A30" s="185">
        <v>4</v>
      </c>
      <c r="B30" s="7" t="s">
        <v>4</v>
      </c>
      <c r="D30" s="8">
        <f t="shared" si="16"/>
        <v>126976</v>
      </c>
      <c r="E30" s="9" t="s">
        <v>1</v>
      </c>
      <c r="F30" s="8">
        <f>ROUNDDOWN((F28*1.5),0)</f>
        <v>152370</v>
      </c>
      <c r="I30" s="8">
        <f t="shared" si="17"/>
        <v>133726</v>
      </c>
      <c r="J30" s="9" t="s">
        <v>1</v>
      </c>
      <c r="K30" s="8">
        <f>ROUNDDOWN((K28*1.5),0)</f>
        <v>160470</v>
      </c>
      <c r="N30" s="8">
        <f t="shared" si="18"/>
        <v>140476</v>
      </c>
      <c r="O30" s="9" t="s">
        <v>1</v>
      </c>
      <c r="P30" s="8">
        <f>ROUNDDOWN((P28*1.5),0)</f>
        <v>168570</v>
      </c>
      <c r="S30" s="8">
        <f t="shared" si="19"/>
        <v>147226</v>
      </c>
      <c r="T30" s="9" t="s">
        <v>1</v>
      </c>
      <c r="U30" s="8">
        <f>ROUNDDOWN((U28*1.5),0)</f>
        <v>176670</v>
      </c>
    </row>
  </sheetData>
  <pageMargins left="0.7" right="0.7" top="0.75" bottom="0.75" header="0.3" footer="0.3"/>
  <pageSetup orientation="landscape" r:id="rId1"/>
  <headerFooter alignWithMargins="0">
    <oddHeader>&amp;L&amp;16FY 2019&amp;C&amp;18&amp;KFF0000Yearly&amp;K000000 Poverty Guidelines&amp;R&amp;16 0-150%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  <pageSetUpPr fitToPage="1"/>
  </sheetPr>
  <dimension ref="A1:R30"/>
  <sheetViews>
    <sheetView view="pageLayout" zoomScaleNormal="100" zoomScaleSheetLayoutView="115" workbookViewId="0">
      <selection activeCell="S17" sqref="S17"/>
    </sheetView>
  </sheetViews>
  <sheetFormatPr defaultRowHeight="12.75" x14ac:dyDescent="0.2"/>
  <cols>
    <col min="1" max="1" width="4.5703125" style="185" bestFit="1" customWidth="1"/>
    <col min="2" max="2" width="9.140625" style="7"/>
    <col min="3" max="3" width="1.5703125" customWidth="1"/>
    <col min="4" max="5" width="7.7109375" customWidth="1"/>
    <col min="6" max="6" width="3.28515625" customWidth="1"/>
    <col min="7" max="7" width="1.5703125" customWidth="1"/>
    <col min="8" max="9" width="7.7109375" customWidth="1"/>
    <col min="10" max="10" width="3.28515625" customWidth="1"/>
    <col min="11" max="11" width="1.5703125" customWidth="1"/>
    <col min="12" max="13" width="7.7109375" customWidth="1"/>
    <col min="14" max="14" width="3.28515625" customWidth="1"/>
    <col min="15" max="15" width="1.5703125" customWidth="1"/>
    <col min="16" max="17" width="7.7109375" customWidth="1"/>
    <col min="18" max="18" width="1.5703125" customWidth="1"/>
  </cols>
  <sheetData>
    <row r="1" spans="1:18" x14ac:dyDescent="0.2">
      <c r="A1" s="184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s="188" customFormat="1" x14ac:dyDescent="0.2">
      <c r="A2" s="184" t="s">
        <v>108</v>
      </c>
      <c r="B2" s="186"/>
      <c r="C2" s="187"/>
      <c r="D2" s="187">
        <v>1</v>
      </c>
      <c r="E2" s="187"/>
      <c r="F2" s="187"/>
      <c r="G2" s="187"/>
      <c r="H2" s="187">
        <v>2</v>
      </c>
      <c r="I2" s="187"/>
      <c r="J2" s="187"/>
      <c r="K2" s="187"/>
      <c r="L2" s="187">
        <v>3</v>
      </c>
      <c r="M2" s="187"/>
      <c r="N2" s="187"/>
      <c r="O2" s="187"/>
      <c r="P2" s="187">
        <v>4</v>
      </c>
      <c r="Q2" s="187"/>
      <c r="R2" s="187"/>
    </row>
    <row r="3" spans="1:18" x14ac:dyDescent="0.2">
      <c r="A3" s="184">
        <v>1</v>
      </c>
      <c r="B3" s="4" t="s">
        <v>0</v>
      </c>
      <c r="C3" s="2"/>
      <c r="D3" s="5">
        <v>0</v>
      </c>
      <c r="E3" s="6">
        <f>ROUNDDOWN(('Yr. Poverty Guidelines 0-150%'!F3/12),0)</f>
        <v>948</v>
      </c>
      <c r="F3" s="2"/>
      <c r="G3" s="2"/>
      <c r="H3" s="5">
        <v>0</v>
      </c>
      <c r="I3" s="6">
        <f>ROUNDDOWN(('Yr. Poverty Guidelines 0-150%'!K3/12),0)</f>
        <v>1286</v>
      </c>
      <c r="J3" s="2"/>
      <c r="K3" s="2"/>
      <c r="L3" s="5">
        <v>0</v>
      </c>
      <c r="M3" s="6">
        <f>ROUNDDOWN(('Yr. Poverty Guidelines 0-150%'!P3/12),0)</f>
        <v>1623</v>
      </c>
      <c r="N3" s="2"/>
      <c r="O3" s="2"/>
      <c r="P3" s="5">
        <v>0</v>
      </c>
      <c r="Q3" s="6">
        <f>ROUNDDOWN(('Yr. Poverty Guidelines 0-150%'!U3/12),0)</f>
        <v>1961</v>
      </c>
      <c r="R3" s="2"/>
    </row>
    <row r="4" spans="1:18" x14ac:dyDescent="0.2">
      <c r="A4" s="185">
        <v>2</v>
      </c>
      <c r="B4" s="7" t="s">
        <v>2</v>
      </c>
      <c r="D4" s="8">
        <f t="shared" ref="D4:D6" si="0">E3+1</f>
        <v>949</v>
      </c>
      <c r="E4" s="8">
        <f>ROUNDDOWN(('Yr. Poverty Guidelines 0-150%'!F4/12),0)</f>
        <v>1265</v>
      </c>
      <c r="H4" s="8">
        <f t="shared" ref="H4:H6" si="1">I3+1</f>
        <v>1287</v>
      </c>
      <c r="I4" s="8">
        <f>ROUNDDOWN(('Yr. Poverty Guidelines 0-150%'!K4/12),0)</f>
        <v>1715</v>
      </c>
      <c r="L4" s="8">
        <f t="shared" ref="L4:L6" si="2">M3+1</f>
        <v>1624</v>
      </c>
      <c r="M4" s="8">
        <f>ROUNDDOWN(('Yr. Poverty Guidelines 0-150%'!P4/12),0)</f>
        <v>2165</v>
      </c>
      <c r="P4" s="8">
        <f t="shared" ref="P4:P6" si="3">Q3+1</f>
        <v>1962</v>
      </c>
      <c r="Q4" s="8">
        <f>ROUNDDOWN(('Yr. Poverty Guidelines 0-150%'!U4/12),0)</f>
        <v>2615</v>
      </c>
    </row>
    <row r="5" spans="1:18" x14ac:dyDescent="0.2">
      <c r="A5" s="184">
        <v>3</v>
      </c>
      <c r="B5" s="4" t="s">
        <v>3</v>
      </c>
      <c r="C5" s="2"/>
      <c r="D5" s="6">
        <f t="shared" si="0"/>
        <v>1266</v>
      </c>
      <c r="E5" s="6">
        <f>ROUNDDOWN(('Yr. Poverty Guidelines 0-150%'!F5/12),0)</f>
        <v>1581</v>
      </c>
      <c r="F5" s="2"/>
      <c r="G5" s="2"/>
      <c r="H5" s="6">
        <f t="shared" si="1"/>
        <v>1716</v>
      </c>
      <c r="I5" s="6">
        <f>ROUNDDOWN(('Yr. Poverty Guidelines 0-150%'!K5/12),0)</f>
        <v>2143</v>
      </c>
      <c r="J5" s="2"/>
      <c r="K5" s="2"/>
      <c r="L5" s="6">
        <f t="shared" si="2"/>
        <v>2166</v>
      </c>
      <c r="M5" s="6">
        <f>ROUNDDOWN(('Yr. Poverty Guidelines 0-150%'!P5/12),0)</f>
        <v>2706</v>
      </c>
      <c r="N5" s="2"/>
      <c r="O5" s="2"/>
      <c r="P5" s="6">
        <f t="shared" si="3"/>
        <v>2616</v>
      </c>
      <c r="Q5" s="6">
        <f>ROUNDDOWN(('Yr. Poverty Guidelines 0-150%'!U5/12),0)</f>
        <v>3268</v>
      </c>
      <c r="R5" s="2"/>
    </row>
    <row r="6" spans="1:18" x14ac:dyDescent="0.2">
      <c r="A6" s="185">
        <v>4</v>
      </c>
      <c r="B6" s="7" t="s">
        <v>4</v>
      </c>
      <c r="D6" s="8">
        <f t="shared" si="0"/>
        <v>1582</v>
      </c>
      <c r="E6" s="8">
        <f>ROUNDDOWN(('Yr. Poverty Guidelines 0-150%'!F6/12),0)</f>
        <v>1897</v>
      </c>
      <c r="H6" s="8">
        <f t="shared" si="1"/>
        <v>2144</v>
      </c>
      <c r="I6" s="8">
        <f>ROUNDDOWN(('Yr. Poverty Guidelines 0-150%'!K6/12),0)</f>
        <v>2572</v>
      </c>
      <c r="L6" s="8">
        <f t="shared" si="2"/>
        <v>2707</v>
      </c>
      <c r="M6" s="8">
        <f>ROUNDDOWN(('Yr. Poverty Guidelines 0-150%'!P6/12),0)</f>
        <v>3247</v>
      </c>
      <c r="P6" s="8">
        <f t="shared" si="3"/>
        <v>3269</v>
      </c>
      <c r="Q6" s="8">
        <f>ROUNDDOWN(('Yr. Poverty Guidelines 0-150%'!U6/12),0)</f>
        <v>3922</v>
      </c>
    </row>
    <row r="8" spans="1:18" s="188" customFormat="1" x14ac:dyDescent="0.2">
      <c r="A8" s="184" t="s">
        <v>108</v>
      </c>
      <c r="B8" s="189"/>
      <c r="C8" s="187"/>
      <c r="D8" s="187">
        <v>5</v>
      </c>
      <c r="E8" s="187"/>
      <c r="F8" s="187"/>
      <c r="G8" s="187"/>
      <c r="H8" s="187">
        <v>6</v>
      </c>
      <c r="I8" s="187"/>
      <c r="J8" s="187"/>
      <c r="K8" s="187"/>
      <c r="L8" s="187">
        <v>7</v>
      </c>
      <c r="M8" s="187"/>
      <c r="N8" s="187"/>
      <c r="O8" s="187"/>
      <c r="P8" s="187">
        <v>8</v>
      </c>
      <c r="Q8" s="187"/>
      <c r="R8" s="187"/>
    </row>
    <row r="9" spans="1:18" x14ac:dyDescent="0.2">
      <c r="A9" s="184">
        <v>1</v>
      </c>
      <c r="B9" s="4" t="s">
        <v>0</v>
      </c>
      <c r="C9" s="2"/>
      <c r="D9" s="5">
        <v>0</v>
      </c>
      <c r="E9" s="6">
        <f>ROUNDDOWN(('Yr. Poverty Guidelines 0-150%'!F9/12),0)</f>
        <v>2298</v>
      </c>
      <c r="F9" s="2"/>
      <c r="G9" s="2"/>
      <c r="H9" s="5">
        <v>0</v>
      </c>
      <c r="I9" s="6">
        <f>ROUNDDOWN(('Yr. Poverty Guidelines 0-150%'!K9/12),0)</f>
        <v>2636</v>
      </c>
      <c r="J9" s="2"/>
      <c r="K9" s="2"/>
      <c r="L9" s="5">
        <v>0</v>
      </c>
      <c r="M9" s="6">
        <f>ROUNDDOWN(('Yr. Poverty Guidelines 0-150%'!P9/12),0)</f>
        <v>2973</v>
      </c>
      <c r="N9" s="2"/>
      <c r="O9" s="2"/>
      <c r="P9" s="5">
        <v>0</v>
      </c>
      <c r="Q9" s="6">
        <f>ROUNDDOWN(('Yr. Poverty Guidelines 0-150%'!U9/12),0)</f>
        <v>3311</v>
      </c>
      <c r="R9" s="2"/>
    </row>
    <row r="10" spans="1:18" x14ac:dyDescent="0.2">
      <c r="A10" s="185">
        <v>2</v>
      </c>
      <c r="B10" s="7" t="s">
        <v>2</v>
      </c>
      <c r="D10" s="8">
        <f t="shared" ref="D10:D12" si="4">E9+1</f>
        <v>2299</v>
      </c>
      <c r="E10" s="8">
        <f>ROUNDDOWN(('Yr. Poverty Guidelines 0-150%'!F10/12),0)</f>
        <v>3065</v>
      </c>
      <c r="H10" s="8">
        <f t="shared" ref="H10:H12" si="5">I9+1</f>
        <v>2637</v>
      </c>
      <c r="I10" s="8">
        <f>ROUNDDOWN(('Yr. Poverty Guidelines 0-150%'!K10/12),0)</f>
        <v>3515</v>
      </c>
      <c r="L10" s="8">
        <f t="shared" ref="L10:L12" si="6">M9+1</f>
        <v>2974</v>
      </c>
      <c r="M10" s="8">
        <f>ROUNDDOWN(('Yr. Poverty Guidelines 0-150%'!P10/12),0)</f>
        <v>3965</v>
      </c>
      <c r="P10" s="8">
        <f t="shared" ref="P10:P12" si="7">Q9+1</f>
        <v>3312</v>
      </c>
      <c r="Q10" s="8">
        <f>ROUNDDOWN(('Yr. Poverty Guidelines 0-150%'!U10/12),0)</f>
        <v>4415</v>
      </c>
    </row>
    <row r="11" spans="1:18" x14ac:dyDescent="0.2">
      <c r="A11" s="184">
        <v>3</v>
      </c>
      <c r="B11" s="4" t="s">
        <v>3</v>
      </c>
      <c r="C11" s="2"/>
      <c r="D11" s="6">
        <f t="shared" si="4"/>
        <v>3066</v>
      </c>
      <c r="E11" s="6">
        <f>ROUNDDOWN(('Yr. Poverty Guidelines 0-150%'!F11/12),0)</f>
        <v>3831</v>
      </c>
      <c r="F11" s="2"/>
      <c r="G11" s="2"/>
      <c r="H11" s="6">
        <f t="shared" si="5"/>
        <v>3516</v>
      </c>
      <c r="I11" s="6">
        <f>ROUNDDOWN(('Yr. Poverty Guidelines 0-150%'!K11/12),0)</f>
        <v>4393</v>
      </c>
      <c r="J11" s="2"/>
      <c r="K11" s="2"/>
      <c r="L11" s="6">
        <f t="shared" si="6"/>
        <v>3966</v>
      </c>
      <c r="M11" s="6">
        <f>ROUNDDOWN(('Yr. Poverty Guidelines 0-150%'!P11/12),0)</f>
        <v>4956</v>
      </c>
      <c r="N11" s="2"/>
      <c r="O11" s="2"/>
      <c r="P11" s="6">
        <f t="shared" si="7"/>
        <v>4416</v>
      </c>
      <c r="Q11" s="6">
        <f>ROUNDDOWN(('Yr. Poverty Guidelines 0-150%'!U11/12),0)</f>
        <v>5518</v>
      </c>
      <c r="R11" s="2"/>
    </row>
    <row r="12" spans="1:18" x14ac:dyDescent="0.2">
      <c r="A12" s="185">
        <v>4</v>
      </c>
      <c r="B12" s="7" t="s">
        <v>4</v>
      </c>
      <c r="D12" s="8">
        <f t="shared" si="4"/>
        <v>3832</v>
      </c>
      <c r="E12" s="8">
        <f>ROUNDDOWN(('Yr. Poverty Guidelines 0-150%'!F12/12),0)</f>
        <v>4597</v>
      </c>
      <c r="H12" s="8">
        <f t="shared" si="5"/>
        <v>4394</v>
      </c>
      <c r="I12" s="8">
        <f>ROUNDDOWN(('Yr. Poverty Guidelines 0-150%'!K12/12),0)</f>
        <v>5272</v>
      </c>
      <c r="L12" s="8">
        <f t="shared" si="6"/>
        <v>4957</v>
      </c>
      <c r="M12" s="8">
        <f>ROUNDDOWN(('Yr. Poverty Guidelines 0-150%'!P12/12),0)</f>
        <v>5947</v>
      </c>
      <c r="P12" s="8">
        <f t="shared" si="7"/>
        <v>5519</v>
      </c>
      <c r="Q12" s="8">
        <f>ROUNDDOWN(('Yr. Poverty Guidelines 0-150%'!U12/12),0)</f>
        <v>6622</v>
      </c>
    </row>
    <row r="14" spans="1:18" s="188" customFormat="1" x14ac:dyDescent="0.2">
      <c r="A14" s="184" t="s">
        <v>108</v>
      </c>
      <c r="B14" s="189"/>
      <c r="C14" s="187"/>
      <c r="D14" s="187">
        <v>9</v>
      </c>
      <c r="E14" s="187"/>
      <c r="F14" s="187"/>
      <c r="G14" s="187"/>
      <c r="H14" s="187">
        <v>10</v>
      </c>
      <c r="I14" s="187"/>
      <c r="J14" s="187"/>
      <c r="K14" s="187"/>
      <c r="L14" s="187">
        <v>11</v>
      </c>
      <c r="M14" s="187"/>
      <c r="N14" s="187"/>
      <c r="O14" s="187"/>
      <c r="P14" s="187">
        <v>12</v>
      </c>
      <c r="Q14" s="187"/>
      <c r="R14" s="187"/>
    </row>
    <row r="15" spans="1:18" x14ac:dyDescent="0.2">
      <c r="A15" s="184">
        <v>1</v>
      </c>
      <c r="B15" s="4" t="s">
        <v>0</v>
      </c>
      <c r="C15" s="2"/>
      <c r="D15" s="5">
        <v>0</v>
      </c>
      <c r="E15" s="6">
        <f>ROUNDDOWN(('Yr. Poverty Guidelines 0-150%'!F15/12),0)</f>
        <v>3648</v>
      </c>
      <c r="F15" s="2"/>
      <c r="G15" s="2"/>
      <c r="H15" s="5">
        <v>0</v>
      </c>
      <c r="I15" s="6">
        <f>ROUNDDOWN(('Yr. Poverty Guidelines 0-150%'!K15/12),0)</f>
        <v>3986</v>
      </c>
      <c r="J15" s="2"/>
      <c r="K15" s="2"/>
      <c r="L15" s="5">
        <v>0</v>
      </c>
      <c r="M15" s="6">
        <f>ROUNDDOWN(('Yr. Poverty Guidelines 0-150%'!P15/12),0)</f>
        <v>4323</v>
      </c>
      <c r="N15" s="2"/>
      <c r="O15" s="2"/>
      <c r="P15" s="5">
        <v>0</v>
      </c>
      <c r="Q15" s="6">
        <f>ROUNDDOWN(('Yr. Poverty Guidelines 0-150%'!U15/12),0)</f>
        <v>4661</v>
      </c>
      <c r="R15" s="2"/>
    </row>
    <row r="16" spans="1:18" x14ac:dyDescent="0.2">
      <c r="A16" s="185">
        <v>2</v>
      </c>
      <c r="B16" s="7" t="s">
        <v>2</v>
      </c>
      <c r="D16" s="8">
        <f t="shared" ref="D16:D18" si="8">E15+1</f>
        <v>3649</v>
      </c>
      <c r="E16" s="8">
        <f>ROUNDDOWN(('Yr. Poverty Guidelines 0-150%'!F16/12),0)</f>
        <v>4865</v>
      </c>
      <c r="H16" s="8">
        <f t="shared" ref="H16:H18" si="9">I15+1</f>
        <v>3987</v>
      </c>
      <c r="I16" s="8">
        <f>ROUNDDOWN(('Yr. Poverty Guidelines 0-150%'!K16/12),0)</f>
        <v>5315</v>
      </c>
      <c r="L16" s="8">
        <f t="shared" ref="L16:L18" si="10">M15+1</f>
        <v>4324</v>
      </c>
      <c r="M16" s="8">
        <f>ROUNDDOWN(('Yr. Poverty Guidelines 0-150%'!P16/12),0)</f>
        <v>5765</v>
      </c>
      <c r="P16" s="8">
        <f t="shared" ref="P16:P18" si="11">Q15+1</f>
        <v>4662</v>
      </c>
      <c r="Q16" s="8">
        <f>ROUNDDOWN(('Yr. Poverty Guidelines 0-150%'!U16/12),0)</f>
        <v>6215</v>
      </c>
    </row>
    <row r="17" spans="1:18" x14ac:dyDescent="0.2">
      <c r="A17" s="184">
        <v>3</v>
      </c>
      <c r="B17" s="4" t="s">
        <v>3</v>
      </c>
      <c r="C17" s="2"/>
      <c r="D17" s="6">
        <f t="shared" si="8"/>
        <v>4866</v>
      </c>
      <c r="E17" s="6">
        <f>ROUNDDOWN(('Yr. Poverty Guidelines 0-150%'!F17/12),0)</f>
        <v>6081</v>
      </c>
      <c r="F17" s="2"/>
      <c r="G17" s="2"/>
      <c r="H17" s="6">
        <f t="shared" si="9"/>
        <v>5316</v>
      </c>
      <c r="I17" s="6">
        <f>ROUNDDOWN(('Yr. Poverty Guidelines 0-150%'!K17/12),0)</f>
        <v>6643</v>
      </c>
      <c r="J17" s="2"/>
      <c r="K17" s="2"/>
      <c r="L17" s="6">
        <f t="shared" si="10"/>
        <v>5766</v>
      </c>
      <c r="M17" s="6">
        <f>ROUNDDOWN(('Yr. Poverty Guidelines 0-150%'!P17/12),0)</f>
        <v>7206</v>
      </c>
      <c r="N17" s="2"/>
      <c r="O17" s="2"/>
      <c r="P17" s="6">
        <f t="shared" si="11"/>
        <v>6216</v>
      </c>
      <c r="Q17" s="6">
        <f>ROUNDDOWN(('Yr. Poverty Guidelines 0-150%'!U17/12),0)</f>
        <v>7768</v>
      </c>
      <c r="R17" s="2"/>
    </row>
    <row r="18" spans="1:18" x14ac:dyDescent="0.2">
      <c r="A18" s="185">
        <v>4</v>
      </c>
      <c r="B18" s="7" t="s">
        <v>4</v>
      </c>
      <c r="D18" s="8">
        <f t="shared" si="8"/>
        <v>6082</v>
      </c>
      <c r="E18" s="8">
        <f>ROUNDDOWN(('Yr. Poverty Guidelines 0-150%'!F18/12),0)</f>
        <v>7297</v>
      </c>
      <c r="H18" s="8">
        <f t="shared" si="9"/>
        <v>6644</v>
      </c>
      <c r="I18" s="8">
        <f>ROUNDDOWN(('Yr. Poverty Guidelines 0-150%'!K18/12),0)</f>
        <v>7972</v>
      </c>
      <c r="L18" s="8">
        <f t="shared" si="10"/>
        <v>7207</v>
      </c>
      <c r="M18" s="8">
        <f>ROUNDDOWN(('Yr. Poverty Guidelines 0-150%'!P18/12),0)</f>
        <v>8647</v>
      </c>
      <c r="P18" s="8">
        <f t="shared" si="11"/>
        <v>7769</v>
      </c>
      <c r="Q18" s="8">
        <f>ROUNDDOWN(('Yr. Poverty Guidelines 0-150%'!U18/12),0)</f>
        <v>9322</v>
      </c>
    </row>
    <row r="20" spans="1:18" s="188" customFormat="1" x14ac:dyDescent="0.2">
      <c r="A20" s="184" t="s">
        <v>108</v>
      </c>
      <c r="B20" s="189"/>
      <c r="C20" s="187"/>
      <c r="D20" s="187">
        <v>13</v>
      </c>
      <c r="E20" s="187"/>
      <c r="F20" s="187"/>
      <c r="G20" s="187"/>
      <c r="H20" s="187">
        <v>14</v>
      </c>
      <c r="I20" s="187"/>
      <c r="J20" s="187"/>
      <c r="K20" s="187"/>
      <c r="L20" s="187">
        <v>15</v>
      </c>
      <c r="M20" s="187"/>
      <c r="N20" s="187"/>
      <c r="O20" s="187"/>
      <c r="P20" s="187">
        <v>16</v>
      </c>
      <c r="Q20" s="187"/>
      <c r="R20" s="187"/>
    </row>
    <row r="21" spans="1:18" x14ac:dyDescent="0.2">
      <c r="A21" s="184">
        <v>1</v>
      </c>
      <c r="B21" s="4" t="s">
        <v>0</v>
      </c>
      <c r="C21" s="2"/>
      <c r="D21" s="5">
        <v>0</v>
      </c>
      <c r="E21" s="6">
        <f>ROUNDDOWN(('Yr. Poverty Guidelines 0-150%'!F21/12),0)</f>
        <v>4998</v>
      </c>
      <c r="F21" s="2"/>
      <c r="G21" s="2"/>
      <c r="H21" s="5">
        <v>0</v>
      </c>
      <c r="I21" s="6">
        <f>ROUNDDOWN(('Yr. Poverty Guidelines 0-150%'!K21/12),0)</f>
        <v>5336</v>
      </c>
      <c r="J21" s="2"/>
      <c r="K21" s="2"/>
      <c r="L21" s="5">
        <v>0</v>
      </c>
      <c r="M21" s="6">
        <f>ROUNDDOWN(('Yr. Poverty Guidelines 0-150%'!P21/12),0)</f>
        <v>5673</v>
      </c>
      <c r="N21" s="2"/>
      <c r="O21" s="2"/>
      <c r="P21" s="5">
        <v>0</v>
      </c>
      <c r="Q21" s="6">
        <f>ROUNDDOWN(('Yr. Poverty Guidelines 0-150%'!U21/12),0)</f>
        <v>6011</v>
      </c>
      <c r="R21" s="2"/>
    </row>
    <row r="22" spans="1:18" x14ac:dyDescent="0.2">
      <c r="A22" s="185">
        <v>2</v>
      </c>
      <c r="B22" s="7" t="s">
        <v>2</v>
      </c>
      <c r="D22" s="8">
        <f t="shared" ref="D22:D24" si="12">E21+1</f>
        <v>4999</v>
      </c>
      <c r="E22" s="8">
        <f>ROUNDDOWN(('Yr. Poverty Guidelines 0-150%'!F22/12),0)</f>
        <v>6665</v>
      </c>
      <c r="H22" s="8">
        <f t="shared" ref="H22:H24" si="13">I21+1</f>
        <v>5337</v>
      </c>
      <c r="I22" s="8">
        <f>ROUNDDOWN(('Yr. Poverty Guidelines 0-150%'!K22/12),0)</f>
        <v>7115</v>
      </c>
      <c r="L22" s="8">
        <f t="shared" ref="L22:L24" si="14">M21+1</f>
        <v>5674</v>
      </c>
      <c r="M22" s="8">
        <f>ROUNDDOWN(('Yr. Poverty Guidelines 0-150%'!P22/12),0)</f>
        <v>7565</v>
      </c>
      <c r="P22" s="8">
        <f t="shared" ref="P22:P24" si="15">Q21+1</f>
        <v>6012</v>
      </c>
      <c r="Q22" s="8">
        <f>ROUNDDOWN(('Yr. Poverty Guidelines 0-150%'!U22/12),0)</f>
        <v>8015</v>
      </c>
    </row>
    <row r="23" spans="1:18" x14ac:dyDescent="0.2">
      <c r="A23" s="184">
        <v>3</v>
      </c>
      <c r="B23" s="4" t="s">
        <v>3</v>
      </c>
      <c r="C23" s="2"/>
      <c r="D23" s="6">
        <f t="shared" si="12"/>
        <v>6666</v>
      </c>
      <c r="E23" s="6">
        <f>ROUNDDOWN(('Yr. Poverty Guidelines 0-150%'!F23/12),0)</f>
        <v>8331</v>
      </c>
      <c r="F23" s="2"/>
      <c r="G23" s="2"/>
      <c r="H23" s="6">
        <f t="shared" si="13"/>
        <v>7116</v>
      </c>
      <c r="I23" s="6">
        <f>ROUNDDOWN(('Yr. Poverty Guidelines 0-150%'!K23/12),0)</f>
        <v>8893</v>
      </c>
      <c r="J23" s="2"/>
      <c r="K23" s="2"/>
      <c r="L23" s="6">
        <f t="shared" si="14"/>
        <v>7566</v>
      </c>
      <c r="M23" s="6">
        <f>ROUNDDOWN(('Yr. Poverty Guidelines 0-150%'!P23/12),0)</f>
        <v>9456</v>
      </c>
      <c r="N23" s="2"/>
      <c r="O23" s="2"/>
      <c r="P23" s="6">
        <f t="shared" si="15"/>
        <v>8016</v>
      </c>
      <c r="Q23" s="6">
        <f>ROUNDDOWN(('Yr. Poverty Guidelines 0-150%'!U23/12),0)</f>
        <v>10018</v>
      </c>
      <c r="R23" s="2"/>
    </row>
    <row r="24" spans="1:18" x14ac:dyDescent="0.2">
      <c r="A24" s="185">
        <v>4</v>
      </c>
      <c r="B24" s="7" t="s">
        <v>4</v>
      </c>
      <c r="D24" s="8">
        <f t="shared" si="12"/>
        <v>8332</v>
      </c>
      <c r="E24" s="8">
        <f>ROUNDDOWN(('Yr. Poverty Guidelines 0-150%'!F24/12),0)</f>
        <v>9997</v>
      </c>
      <c r="H24" s="8">
        <f t="shared" si="13"/>
        <v>8894</v>
      </c>
      <c r="I24" s="8">
        <f>ROUNDDOWN(('Yr. Poverty Guidelines 0-150%'!K24/12),0)</f>
        <v>10672</v>
      </c>
      <c r="L24" s="8">
        <f t="shared" si="14"/>
        <v>9457</v>
      </c>
      <c r="M24" s="8">
        <f>ROUNDDOWN(('Yr. Poverty Guidelines 0-150%'!P24/12),0)</f>
        <v>11347</v>
      </c>
      <c r="P24" s="8">
        <f t="shared" si="15"/>
        <v>10019</v>
      </c>
      <c r="Q24" s="8">
        <f>ROUNDDOWN(('Yr. Poverty Guidelines 0-150%'!U24/12),0)</f>
        <v>12022</v>
      </c>
    </row>
    <row r="26" spans="1:18" s="188" customFormat="1" x14ac:dyDescent="0.2">
      <c r="A26" s="184" t="s">
        <v>108</v>
      </c>
      <c r="B26" s="189"/>
      <c r="C26" s="187"/>
      <c r="D26" s="187">
        <v>17</v>
      </c>
      <c r="E26" s="187"/>
      <c r="F26" s="187"/>
      <c r="G26" s="187"/>
      <c r="H26" s="187">
        <v>18</v>
      </c>
      <c r="I26" s="187"/>
      <c r="J26" s="187"/>
      <c r="K26" s="187"/>
      <c r="L26" s="187">
        <v>19</v>
      </c>
      <c r="M26" s="187"/>
      <c r="N26" s="187"/>
      <c r="O26" s="187"/>
      <c r="P26" s="187">
        <v>20</v>
      </c>
      <c r="Q26" s="187"/>
      <c r="R26" s="187"/>
    </row>
    <row r="27" spans="1:18" x14ac:dyDescent="0.2">
      <c r="A27" s="184">
        <v>1</v>
      </c>
      <c r="B27" s="4" t="s">
        <v>0</v>
      </c>
      <c r="C27" s="2"/>
      <c r="D27" s="5">
        <v>0</v>
      </c>
      <c r="E27" s="6">
        <f>ROUNDDOWN(('Yr. Poverty Guidelines 0-150%'!F27/12),0)</f>
        <v>6348</v>
      </c>
      <c r="F27" s="2"/>
      <c r="G27" s="2"/>
      <c r="H27" s="5">
        <v>0</v>
      </c>
      <c r="I27" s="6">
        <f>ROUNDDOWN(('Yr. Poverty Guidelines 0-150%'!K27/12),0)</f>
        <v>6686</v>
      </c>
      <c r="J27" s="2"/>
      <c r="K27" s="2"/>
      <c r="L27" s="5">
        <v>0</v>
      </c>
      <c r="M27" s="6">
        <f>ROUNDDOWN(('Yr. Poverty Guidelines 0-150%'!P27/12),0)</f>
        <v>7023</v>
      </c>
      <c r="N27" s="2"/>
      <c r="O27" s="2"/>
      <c r="P27" s="5">
        <v>0</v>
      </c>
      <c r="Q27" s="6">
        <f>ROUNDDOWN(('Yr. Poverty Guidelines 0-150%'!U27/12),0)</f>
        <v>7361</v>
      </c>
      <c r="R27" s="2"/>
    </row>
    <row r="28" spans="1:18" x14ac:dyDescent="0.2">
      <c r="A28" s="185">
        <v>2</v>
      </c>
      <c r="B28" s="7" t="s">
        <v>2</v>
      </c>
      <c r="D28" s="8">
        <f t="shared" ref="D28:D30" si="16">E27+1</f>
        <v>6349</v>
      </c>
      <c r="E28" s="8">
        <f>ROUNDDOWN(('Yr. Poverty Guidelines 0-150%'!F28/12),0)</f>
        <v>8465</v>
      </c>
      <c r="H28" s="8">
        <f t="shared" ref="H28:H30" si="17">I27+1</f>
        <v>6687</v>
      </c>
      <c r="I28" s="8">
        <f>ROUNDDOWN(('Yr. Poverty Guidelines 0-150%'!K28/12),0)</f>
        <v>8915</v>
      </c>
      <c r="L28" s="8">
        <f t="shared" ref="L28:L30" si="18">M27+1</f>
        <v>7024</v>
      </c>
      <c r="M28" s="8">
        <f>ROUNDDOWN(('Yr. Poverty Guidelines 0-150%'!P28/12),0)</f>
        <v>9365</v>
      </c>
      <c r="P28" s="8">
        <f t="shared" ref="P28:P30" si="19">Q27+1</f>
        <v>7362</v>
      </c>
      <c r="Q28" s="8">
        <f>ROUNDDOWN(('Yr. Poverty Guidelines 0-150%'!U28/12),0)</f>
        <v>9815</v>
      </c>
    </row>
    <row r="29" spans="1:18" x14ac:dyDescent="0.2">
      <c r="A29" s="184">
        <v>3</v>
      </c>
      <c r="B29" s="4" t="s">
        <v>3</v>
      </c>
      <c r="C29" s="2"/>
      <c r="D29" s="6">
        <f t="shared" si="16"/>
        <v>8466</v>
      </c>
      <c r="E29" s="6">
        <f>ROUNDDOWN(('Yr. Poverty Guidelines 0-150%'!F29/12),0)</f>
        <v>10581</v>
      </c>
      <c r="F29" s="2"/>
      <c r="G29" s="2"/>
      <c r="H29" s="6">
        <f t="shared" si="17"/>
        <v>8916</v>
      </c>
      <c r="I29" s="6">
        <f>ROUNDDOWN(('Yr. Poverty Guidelines 0-150%'!K29/12),0)</f>
        <v>11143</v>
      </c>
      <c r="J29" s="2"/>
      <c r="K29" s="2"/>
      <c r="L29" s="6">
        <f t="shared" si="18"/>
        <v>9366</v>
      </c>
      <c r="M29" s="6">
        <f>ROUNDDOWN(('Yr. Poverty Guidelines 0-150%'!P29/12),0)</f>
        <v>11706</v>
      </c>
      <c r="N29" s="2"/>
      <c r="O29" s="2"/>
      <c r="P29" s="6">
        <f t="shared" si="19"/>
        <v>9816</v>
      </c>
      <c r="Q29" s="6">
        <f>ROUNDDOWN(('Yr. Poverty Guidelines 0-150%'!U29/12),0)</f>
        <v>12268</v>
      </c>
      <c r="R29" s="2"/>
    </row>
    <row r="30" spans="1:18" x14ac:dyDescent="0.2">
      <c r="A30" s="185">
        <v>4</v>
      </c>
      <c r="B30" s="7" t="s">
        <v>4</v>
      </c>
      <c r="D30" s="8">
        <f t="shared" si="16"/>
        <v>10582</v>
      </c>
      <c r="E30" s="8">
        <f>ROUNDDOWN(('Yr. Poverty Guidelines 0-150%'!F30/12),0)</f>
        <v>12697</v>
      </c>
      <c r="H30" s="8">
        <f t="shared" si="17"/>
        <v>11144</v>
      </c>
      <c r="I30" s="8">
        <f>ROUNDDOWN(('Yr. Poverty Guidelines 0-150%'!K30/12),0)</f>
        <v>13372</v>
      </c>
      <c r="L30" s="8">
        <f t="shared" si="18"/>
        <v>11707</v>
      </c>
      <c r="M30" s="8">
        <f>ROUNDDOWN(('Yr. Poverty Guidelines 0-150%'!P30/12),0)</f>
        <v>14047</v>
      </c>
      <c r="P30" s="8">
        <f t="shared" si="19"/>
        <v>12269</v>
      </c>
      <c r="Q30" s="8">
        <f>ROUNDDOWN(('Yr. Poverty Guidelines 0-150%'!U30/12),0)</f>
        <v>14722</v>
      </c>
    </row>
  </sheetData>
  <pageMargins left="0.7" right="0.7" top="0.75" bottom="0.75" header="0.3" footer="0.3"/>
  <pageSetup orientation="landscape" r:id="rId1"/>
  <headerFooter alignWithMargins="0">
    <oddHeader>&amp;L&amp;16FY 2019&amp;C&amp;18&amp;KFF0000Monthly&amp;K000000 Poverty Guidelines&amp;R&amp;16 0-150%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  <pageSetUpPr fitToPage="1"/>
  </sheetPr>
  <dimension ref="A1:G45"/>
  <sheetViews>
    <sheetView zoomScaleNormal="100" zoomScaleSheetLayoutView="100" workbookViewId="0">
      <selection activeCell="E22" sqref="E22"/>
    </sheetView>
  </sheetViews>
  <sheetFormatPr defaultColWidth="52.42578125" defaultRowHeight="12.75" x14ac:dyDescent="0.2"/>
  <cols>
    <col min="1" max="1" width="20.28515625" style="13" bestFit="1" customWidth="1"/>
    <col min="2" max="2" width="9.42578125" style="40" bestFit="1" customWidth="1"/>
    <col min="3" max="3" width="11.28515625" style="91" bestFit="1" customWidth="1"/>
    <col min="4" max="4" width="5.5703125" style="13" bestFit="1" customWidth="1"/>
    <col min="5" max="5" width="9.140625" style="39" bestFit="1" customWidth="1"/>
    <col min="6" max="6" width="20" style="13" customWidth="1"/>
    <col min="7" max="7" width="25.140625" style="39" bestFit="1" customWidth="1"/>
    <col min="8" max="16384" width="52.42578125" style="13"/>
  </cols>
  <sheetData>
    <row r="1" spans="1:7" s="160" customFormat="1" ht="15.75" thickBot="1" x14ac:dyDescent="0.3">
      <c r="A1" s="160" t="s">
        <v>51</v>
      </c>
      <c r="B1" s="161" t="s">
        <v>118</v>
      </c>
      <c r="C1" s="162" t="s">
        <v>52</v>
      </c>
      <c r="D1" s="160" t="s">
        <v>53</v>
      </c>
      <c r="E1" s="221" t="s">
        <v>120</v>
      </c>
      <c r="F1" s="160" t="s">
        <v>54</v>
      </c>
      <c r="G1" s="161" t="s">
        <v>121</v>
      </c>
    </row>
    <row r="2" spans="1:7" ht="15" x14ac:dyDescent="0.25">
      <c r="A2" s="53" t="s">
        <v>5</v>
      </c>
      <c r="B2" s="54">
        <v>5.0199999999999996</v>
      </c>
      <c r="C2" s="89"/>
      <c r="D2" s="87"/>
      <c r="E2" s="222">
        <v>5.08</v>
      </c>
      <c r="F2" s="56"/>
      <c r="G2" s="55">
        <f t="shared" ref="G2:G44" si="0">E2-B2</f>
        <v>6.0000000000000497E-2</v>
      </c>
    </row>
    <row r="3" spans="1:7" s="18" customFormat="1" ht="15" x14ac:dyDescent="0.25">
      <c r="A3" s="53" t="s">
        <v>6</v>
      </c>
      <c r="B3" s="58">
        <v>5.12</v>
      </c>
      <c r="C3" s="90"/>
      <c r="D3" s="57"/>
      <c r="E3" s="222">
        <v>4.78</v>
      </c>
      <c r="F3" s="60"/>
      <c r="G3" s="59">
        <f t="shared" si="0"/>
        <v>-0.33999999999999986</v>
      </c>
    </row>
    <row r="4" spans="1:7" ht="15" x14ac:dyDescent="0.25">
      <c r="A4" s="53" t="s">
        <v>7</v>
      </c>
      <c r="B4" s="54">
        <v>4.75</v>
      </c>
      <c r="C4" s="89"/>
      <c r="D4" s="53"/>
      <c r="E4" s="222">
        <v>5.7</v>
      </c>
      <c r="F4" s="56"/>
      <c r="G4" s="55">
        <f t="shared" si="0"/>
        <v>0.95000000000000018</v>
      </c>
    </row>
    <row r="5" spans="1:7" ht="15" x14ac:dyDescent="0.25">
      <c r="A5" s="53" t="s">
        <v>8</v>
      </c>
      <c r="B5" s="54">
        <v>5.62</v>
      </c>
      <c r="C5" s="89"/>
      <c r="D5" s="53"/>
      <c r="E5" s="222">
        <v>5.2</v>
      </c>
      <c r="F5" s="56"/>
      <c r="G5" s="55">
        <f t="shared" si="0"/>
        <v>-0.41999999999999993</v>
      </c>
    </row>
    <row r="6" spans="1:7" ht="15" x14ac:dyDescent="0.25">
      <c r="A6" s="53" t="s">
        <v>9</v>
      </c>
      <c r="B6" s="54">
        <v>4.25</v>
      </c>
      <c r="C6" s="89"/>
      <c r="D6" s="53"/>
      <c r="E6" s="222">
        <v>5.45</v>
      </c>
      <c r="F6" s="56"/>
      <c r="G6" s="55">
        <f t="shared" si="0"/>
        <v>1.2000000000000002</v>
      </c>
    </row>
    <row r="7" spans="1:7" ht="15" x14ac:dyDescent="0.25">
      <c r="A7" s="53" t="s">
        <v>10</v>
      </c>
      <c r="B7" s="54">
        <v>6.15</v>
      </c>
      <c r="C7" s="89"/>
      <c r="D7" s="53"/>
      <c r="E7" s="222">
        <v>5.35</v>
      </c>
      <c r="F7" s="56"/>
      <c r="G7" s="55">
        <f t="shared" si="0"/>
        <v>-0.80000000000000071</v>
      </c>
    </row>
    <row r="8" spans="1:7" ht="15" x14ac:dyDescent="0.25">
      <c r="A8" s="53" t="s">
        <v>11</v>
      </c>
      <c r="B8" s="54">
        <v>4.5</v>
      </c>
      <c r="C8" s="89"/>
      <c r="D8" s="53"/>
      <c r="E8" s="222">
        <v>5.9</v>
      </c>
      <c r="F8" s="56"/>
      <c r="G8" s="55">
        <f t="shared" si="0"/>
        <v>1.4000000000000004</v>
      </c>
    </row>
    <row r="9" spans="1:7" s="18" customFormat="1" ht="15" x14ac:dyDescent="0.25">
      <c r="A9" s="53" t="s">
        <v>12</v>
      </c>
      <c r="B9" s="58">
        <v>5</v>
      </c>
      <c r="C9" s="90"/>
      <c r="D9" s="57"/>
      <c r="E9" s="222">
        <v>6.11</v>
      </c>
      <c r="F9" s="60"/>
      <c r="G9" s="59">
        <f t="shared" si="0"/>
        <v>1.1100000000000003</v>
      </c>
    </row>
    <row r="10" spans="1:7" ht="15" x14ac:dyDescent="0.25">
      <c r="A10" s="53" t="s">
        <v>13</v>
      </c>
      <c r="B10" s="54">
        <v>4</v>
      </c>
      <c r="C10" s="89"/>
      <c r="D10" s="53"/>
      <c r="E10" s="222">
        <v>4</v>
      </c>
      <c r="F10" s="85"/>
      <c r="G10" s="55">
        <f t="shared" si="0"/>
        <v>0</v>
      </c>
    </row>
    <row r="11" spans="1:7" ht="15" x14ac:dyDescent="0.25">
      <c r="A11" s="53" t="s">
        <v>14</v>
      </c>
      <c r="B11" s="138">
        <v>4.8899999999999997</v>
      </c>
      <c r="C11" s="89"/>
      <c r="D11" s="53"/>
      <c r="E11" s="222">
        <v>5.4390000000000001</v>
      </c>
      <c r="F11" s="56"/>
      <c r="G11" s="55">
        <f t="shared" si="0"/>
        <v>0.54900000000000038</v>
      </c>
    </row>
    <row r="12" spans="1:7" ht="15" x14ac:dyDescent="0.25">
      <c r="A12" s="53" t="s">
        <v>15</v>
      </c>
      <c r="B12" s="54">
        <v>5.13</v>
      </c>
      <c r="C12" s="89"/>
      <c r="D12" s="53"/>
      <c r="E12" s="222">
        <v>5.13</v>
      </c>
      <c r="F12" s="85"/>
      <c r="G12" s="55">
        <f t="shared" si="0"/>
        <v>0</v>
      </c>
    </row>
    <row r="13" spans="1:7" ht="15" x14ac:dyDescent="0.25">
      <c r="A13" s="53" t="s">
        <v>16</v>
      </c>
      <c r="B13" s="54">
        <v>4.3099999999999996</v>
      </c>
      <c r="C13" s="89"/>
      <c r="D13" s="53"/>
      <c r="E13" s="222">
        <v>5.3</v>
      </c>
      <c r="F13" s="56"/>
      <c r="G13" s="55">
        <f t="shared" si="0"/>
        <v>0.99000000000000021</v>
      </c>
    </row>
    <row r="14" spans="1:7" ht="15" x14ac:dyDescent="0.25">
      <c r="A14" s="53" t="s">
        <v>17</v>
      </c>
      <c r="B14" s="54">
        <v>4.58</v>
      </c>
      <c r="C14" s="89"/>
      <c r="D14" s="53"/>
      <c r="E14" s="222">
        <v>5.07</v>
      </c>
      <c r="F14" s="56"/>
      <c r="G14" s="55">
        <f t="shared" si="0"/>
        <v>0.49000000000000021</v>
      </c>
    </row>
    <row r="15" spans="1:7" ht="15" x14ac:dyDescent="0.25">
      <c r="A15" s="53" t="s">
        <v>18</v>
      </c>
      <c r="B15" s="54">
        <v>4.37</v>
      </c>
      <c r="C15" s="89"/>
      <c r="D15" s="53"/>
      <c r="E15" s="222">
        <v>5.85</v>
      </c>
      <c r="F15" s="56"/>
      <c r="G15" s="55">
        <f t="shared" si="0"/>
        <v>1.4799999999999995</v>
      </c>
    </row>
    <row r="16" spans="1:7" ht="15" x14ac:dyDescent="0.25">
      <c r="A16" s="53" t="s">
        <v>19</v>
      </c>
      <c r="B16" s="54">
        <v>5</v>
      </c>
      <c r="C16" s="89"/>
      <c r="D16" s="53"/>
      <c r="E16" s="222">
        <v>5.56</v>
      </c>
      <c r="F16" s="85"/>
      <c r="G16" s="55">
        <f t="shared" si="0"/>
        <v>0.55999999999999961</v>
      </c>
    </row>
    <row r="17" spans="1:7" ht="15" x14ac:dyDescent="0.25">
      <c r="A17" s="53" t="s">
        <v>20</v>
      </c>
      <c r="B17" s="54">
        <v>4.6500000000000004</v>
      </c>
      <c r="C17" s="89"/>
      <c r="D17" s="53"/>
      <c r="E17" s="222">
        <v>5.69</v>
      </c>
      <c r="F17" s="56"/>
      <c r="G17" s="55">
        <f t="shared" si="0"/>
        <v>1.04</v>
      </c>
    </row>
    <row r="18" spans="1:7" ht="15" x14ac:dyDescent="0.25">
      <c r="A18" s="172" t="s">
        <v>90</v>
      </c>
      <c r="B18" s="54">
        <v>5.65</v>
      </c>
      <c r="C18" s="89"/>
      <c r="D18" s="53"/>
      <c r="E18" s="222">
        <v>7</v>
      </c>
      <c r="F18" s="56"/>
      <c r="G18" s="55">
        <f t="shared" si="0"/>
        <v>1.3499999999999996</v>
      </c>
    </row>
    <row r="19" spans="1:7" ht="15" x14ac:dyDescent="0.25">
      <c r="A19" s="181" t="s">
        <v>99</v>
      </c>
      <c r="B19" s="54">
        <v>6</v>
      </c>
      <c r="C19" s="89"/>
      <c r="D19" s="53"/>
      <c r="E19" s="222">
        <v>5.7</v>
      </c>
      <c r="F19" s="56"/>
      <c r="G19" s="55">
        <f t="shared" si="0"/>
        <v>-0.29999999999999982</v>
      </c>
    </row>
    <row r="20" spans="1:7" ht="15" x14ac:dyDescent="0.25">
      <c r="A20" s="53" t="s">
        <v>21</v>
      </c>
      <c r="B20" s="54">
        <v>4.75</v>
      </c>
      <c r="C20" s="89"/>
      <c r="D20" s="53"/>
      <c r="E20" s="222">
        <v>6.01</v>
      </c>
      <c r="F20" s="56"/>
      <c r="G20" s="55">
        <f t="shared" si="0"/>
        <v>1.2599999999999998</v>
      </c>
    </row>
    <row r="21" spans="1:7" s="18" customFormat="1" ht="15" x14ac:dyDescent="0.25">
      <c r="A21" s="53" t="s">
        <v>22</v>
      </c>
      <c r="B21" s="54">
        <v>4.55</v>
      </c>
      <c r="C21" s="89"/>
      <c r="D21" s="53"/>
      <c r="E21" s="222">
        <v>4.55</v>
      </c>
      <c r="F21" s="56"/>
      <c r="G21" s="55">
        <f t="shared" si="0"/>
        <v>0</v>
      </c>
    </row>
    <row r="22" spans="1:7" ht="15" x14ac:dyDescent="0.25">
      <c r="A22" s="53" t="s">
        <v>23</v>
      </c>
      <c r="B22" s="54">
        <v>6.69</v>
      </c>
      <c r="C22" s="89"/>
      <c r="D22" s="87"/>
      <c r="E22" s="222">
        <v>6.01</v>
      </c>
      <c r="F22" s="56"/>
      <c r="G22" s="55">
        <f t="shared" si="0"/>
        <v>-0.6800000000000006</v>
      </c>
    </row>
    <row r="23" spans="1:7" ht="15" x14ac:dyDescent="0.25">
      <c r="A23" s="53" t="s">
        <v>24</v>
      </c>
      <c r="B23" s="54">
        <v>4.29</v>
      </c>
      <c r="C23" s="89"/>
      <c r="D23" s="53"/>
      <c r="E23" s="222">
        <v>5.33</v>
      </c>
      <c r="F23" s="56"/>
      <c r="G23" s="55">
        <f t="shared" si="0"/>
        <v>1.04</v>
      </c>
    </row>
    <row r="24" spans="1:7" ht="15" x14ac:dyDescent="0.25">
      <c r="A24" s="53" t="s">
        <v>25</v>
      </c>
      <c r="B24" s="54">
        <v>5.5</v>
      </c>
      <c r="C24" s="89"/>
      <c r="D24" s="53"/>
      <c r="E24" s="222">
        <v>6.85</v>
      </c>
      <c r="F24" s="56"/>
      <c r="G24" s="55">
        <f t="shared" si="0"/>
        <v>1.3499999999999996</v>
      </c>
    </row>
    <row r="25" spans="1:7" s="18" customFormat="1" ht="15" x14ac:dyDescent="0.25">
      <c r="A25" s="53" t="s">
        <v>26</v>
      </c>
      <c r="B25" s="58">
        <v>6.72</v>
      </c>
      <c r="C25" s="90"/>
      <c r="D25" s="57"/>
      <c r="E25" s="222">
        <v>6.72</v>
      </c>
      <c r="F25" s="60"/>
      <c r="G25" s="59">
        <f t="shared" si="0"/>
        <v>0</v>
      </c>
    </row>
    <row r="26" spans="1:7" s="18" customFormat="1" ht="15" x14ac:dyDescent="0.25">
      <c r="A26" s="53" t="s">
        <v>27</v>
      </c>
      <c r="B26" s="54">
        <v>5.5</v>
      </c>
      <c r="C26" s="89"/>
      <c r="D26" s="53"/>
      <c r="E26" s="222">
        <v>6.5</v>
      </c>
      <c r="F26" s="56"/>
      <c r="G26" s="55">
        <f t="shared" si="0"/>
        <v>1</v>
      </c>
    </row>
    <row r="27" spans="1:7" ht="15" x14ac:dyDescent="0.25">
      <c r="A27" s="53" t="s">
        <v>28</v>
      </c>
      <c r="B27" s="54">
        <v>5</v>
      </c>
      <c r="C27" s="89"/>
      <c r="D27" s="53"/>
      <c r="E27" s="222">
        <v>5.35</v>
      </c>
      <c r="F27" s="56"/>
      <c r="G27" s="55">
        <f t="shared" si="0"/>
        <v>0.34999999999999964</v>
      </c>
    </row>
    <row r="28" spans="1:7" s="18" customFormat="1" ht="15" x14ac:dyDescent="0.25">
      <c r="A28" s="53" t="s">
        <v>29</v>
      </c>
      <c r="B28" s="54">
        <v>5.15</v>
      </c>
      <c r="C28" s="89"/>
      <c r="D28" s="53"/>
      <c r="E28" s="222">
        <v>5.51</v>
      </c>
      <c r="F28" s="56"/>
      <c r="G28" s="55">
        <f t="shared" si="0"/>
        <v>0.35999999999999943</v>
      </c>
    </row>
    <row r="29" spans="1:7" ht="15" x14ac:dyDescent="0.25">
      <c r="A29" s="53" t="s">
        <v>30</v>
      </c>
      <c r="B29" s="58">
        <v>5.9</v>
      </c>
      <c r="C29" s="90"/>
      <c r="D29" s="88"/>
      <c r="E29" s="222">
        <v>5.9</v>
      </c>
      <c r="F29" s="60"/>
      <c r="G29" s="59">
        <f t="shared" si="0"/>
        <v>0</v>
      </c>
    </row>
    <row r="30" spans="1:7" ht="15" x14ac:dyDescent="0.25">
      <c r="A30" s="53" t="s">
        <v>31</v>
      </c>
      <c r="B30" s="58">
        <v>7.02</v>
      </c>
      <c r="C30" s="90"/>
      <c r="D30" s="88"/>
      <c r="E30" s="222">
        <v>6.03</v>
      </c>
      <c r="F30" s="60"/>
      <c r="G30" s="59">
        <f t="shared" si="0"/>
        <v>-0.98999999999999932</v>
      </c>
    </row>
    <row r="31" spans="1:7" ht="15" x14ac:dyDescent="0.25">
      <c r="A31" s="53" t="s">
        <v>32</v>
      </c>
      <c r="B31" s="54">
        <v>5.3</v>
      </c>
      <c r="C31" s="89"/>
      <c r="D31" s="53"/>
      <c r="E31" s="222">
        <v>6.2510000000000003</v>
      </c>
      <c r="F31" s="56"/>
      <c r="G31" s="55">
        <f t="shared" si="0"/>
        <v>0.95100000000000051</v>
      </c>
    </row>
    <row r="32" spans="1:7" ht="15" x14ac:dyDescent="0.25">
      <c r="A32" s="53" t="s">
        <v>33</v>
      </c>
      <c r="B32" s="58">
        <v>5</v>
      </c>
      <c r="C32" s="90"/>
      <c r="D32" s="57"/>
      <c r="E32" s="222">
        <v>3.35</v>
      </c>
      <c r="F32" s="183"/>
      <c r="G32" s="59">
        <f t="shared" si="0"/>
        <v>-1.65</v>
      </c>
    </row>
    <row r="33" spans="1:7" ht="15" x14ac:dyDescent="0.25">
      <c r="A33" s="53" t="s">
        <v>34</v>
      </c>
      <c r="B33" s="54">
        <v>4.8499999999999996</v>
      </c>
      <c r="C33" s="89"/>
      <c r="D33" s="87"/>
      <c r="E33" s="222">
        <v>4.8499999999999996</v>
      </c>
      <c r="F33" s="56"/>
      <c r="G33" s="55">
        <f t="shared" si="0"/>
        <v>0</v>
      </c>
    </row>
    <row r="34" spans="1:7" ht="15" x14ac:dyDescent="0.25">
      <c r="A34" s="172" t="s">
        <v>88</v>
      </c>
      <c r="B34" s="54">
        <v>5.65</v>
      </c>
      <c r="C34" s="89"/>
      <c r="D34" s="53"/>
      <c r="E34" s="222">
        <v>7</v>
      </c>
      <c r="F34" s="56"/>
      <c r="G34" s="55">
        <f t="shared" si="0"/>
        <v>1.3499999999999996</v>
      </c>
    </row>
    <row r="35" spans="1:7" ht="15" x14ac:dyDescent="0.25">
      <c r="A35" s="53" t="s">
        <v>45</v>
      </c>
      <c r="B35" s="54">
        <v>4.62</v>
      </c>
      <c r="C35" s="89"/>
      <c r="D35" s="53"/>
      <c r="E35" s="222">
        <v>4.62</v>
      </c>
      <c r="F35" s="56"/>
      <c r="G35" s="55">
        <f t="shared" si="0"/>
        <v>0</v>
      </c>
    </row>
    <row r="36" spans="1:7" ht="15" x14ac:dyDescent="0.25">
      <c r="A36" s="53" t="s">
        <v>36</v>
      </c>
      <c r="B36" s="54">
        <v>5.3</v>
      </c>
      <c r="C36" s="89"/>
      <c r="D36" s="53"/>
      <c r="E36" s="222">
        <v>6.2510000000000003</v>
      </c>
      <c r="F36" s="56"/>
      <c r="G36" s="55">
        <f t="shared" si="0"/>
        <v>0.95100000000000051</v>
      </c>
    </row>
    <row r="37" spans="1:7" ht="15" x14ac:dyDescent="0.25">
      <c r="A37" s="53" t="s">
        <v>35</v>
      </c>
      <c r="B37" s="54">
        <v>5.15</v>
      </c>
      <c r="C37" s="89"/>
      <c r="D37" s="53"/>
      <c r="E37" s="222">
        <v>5.99</v>
      </c>
      <c r="F37" s="56"/>
      <c r="G37" s="55">
        <f t="shared" si="0"/>
        <v>0.83999999999999986</v>
      </c>
    </row>
    <row r="38" spans="1:7" ht="15" x14ac:dyDescent="0.25">
      <c r="A38" s="172" t="s">
        <v>89</v>
      </c>
      <c r="B38" s="54">
        <v>5.65</v>
      </c>
      <c r="C38" s="89"/>
      <c r="D38" s="53"/>
      <c r="E38" s="222">
        <v>7</v>
      </c>
      <c r="F38" s="56"/>
      <c r="G38" s="55">
        <f t="shared" si="0"/>
        <v>1.3499999999999996</v>
      </c>
    </row>
    <row r="39" spans="1:7" ht="15" x14ac:dyDescent="0.25">
      <c r="A39" s="53" t="s">
        <v>37</v>
      </c>
      <c r="B39" s="54">
        <v>6.15</v>
      </c>
      <c r="C39" s="89"/>
      <c r="D39" s="53"/>
      <c r="E39" s="222">
        <v>6.56</v>
      </c>
      <c r="F39" s="56"/>
      <c r="G39" s="55">
        <f t="shared" si="0"/>
        <v>0.40999999999999925</v>
      </c>
    </row>
    <row r="40" spans="1:7" ht="15" x14ac:dyDescent="0.25">
      <c r="A40" s="53" t="s">
        <v>38</v>
      </c>
      <c r="B40" s="54">
        <v>5.69</v>
      </c>
      <c r="C40" s="89"/>
      <c r="D40" s="53"/>
      <c r="E40" s="222">
        <v>6</v>
      </c>
      <c r="F40" s="56"/>
      <c r="G40" s="55">
        <f t="shared" si="0"/>
        <v>0.30999999999999961</v>
      </c>
    </row>
    <row r="41" spans="1:7" ht="15" x14ac:dyDescent="0.25">
      <c r="A41" s="53" t="s">
        <v>39</v>
      </c>
      <c r="B41" s="54">
        <v>4.88</v>
      </c>
      <c r="C41" s="89"/>
      <c r="D41" s="53"/>
      <c r="E41" s="222">
        <v>4.75</v>
      </c>
      <c r="F41" s="56"/>
      <c r="G41" s="55">
        <f t="shared" si="0"/>
        <v>-0.12999999999999989</v>
      </c>
    </row>
    <row r="42" spans="1:7" ht="15" x14ac:dyDescent="0.25">
      <c r="A42" s="53" t="s">
        <v>40</v>
      </c>
      <c r="B42" s="54">
        <v>4.8899999999999997</v>
      </c>
      <c r="C42" s="89"/>
      <c r="D42" s="53"/>
      <c r="E42" s="222">
        <v>4.75</v>
      </c>
      <c r="F42" s="56"/>
      <c r="G42" s="55">
        <f t="shared" si="0"/>
        <v>-0.13999999999999968</v>
      </c>
    </row>
    <row r="43" spans="1:7" ht="15" x14ac:dyDescent="0.25">
      <c r="A43" s="181" t="s">
        <v>114</v>
      </c>
      <c r="B43" s="54">
        <v>6</v>
      </c>
      <c r="C43" s="89"/>
      <c r="D43" s="53"/>
      <c r="E43" s="222">
        <v>5.7</v>
      </c>
      <c r="F43" s="56"/>
      <c r="G43" s="55">
        <f t="shared" si="0"/>
        <v>-0.29999999999999982</v>
      </c>
    </row>
    <row r="44" spans="1:7" ht="15.75" thickBot="1" x14ac:dyDescent="0.3">
      <c r="A44" s="173" t="s">
        <v>55</v>
      </c>
      <c r="B44" s="174">
        <f>AVERAGE(B2:B43)</f>
        <v>5.2188095238095249</v>
      </c>
      <c r="C44" s="175"/>
      <c r="D44" s="173"/>
      <c r="E44" s="223">
        <f>AVERAGE(E2:E43)</f>
        <v>5.6224047619047619</v>
      </c>
      <c r="F44" s="173"/>
      <c r="G44" s="174">
        <f t="shared" si="0"/>
        <v>0.40359523809523701</v>
      </c>
    </row>
    <row r="45" spans="1:7" ht="13.5" thickTop="1" x14ac:dyDescent="0.2"/>
  </sheetData>
  <sortState ref="A2:G43">
    <sortCondition ref="A2:A43"/>
  </sortState>
  <pageMargins left="0.7" right="0.7" top="0.75" bottom="0.75" header="0.3" footer="0.3"/>
  <pageSetup scale="91" orientation="portrait" r:id="rId1"/>
  <headerFooter>
    <oddHeader>&amp;L&amp;16FY 2018&amp;C&amp;18Village Stove Oil Prices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B8"/>
  <sheetViews>
    <sheetView view="pageLayout" zoomScaleNormal="100" zoomScaleSheetLayoutView="100" workbookViewId="0">
      <selection activeCell="C4" sqref="C4"/>
    </sheetView>
  </sheetViews>
  <sheetFormatPr defaultColWidth="9.140625" defaultRowHeight="20.25" x14ac:dyDescent="0.3"/>
  <cols>
    <col min="1" max="1" width="38.7109375" style="177" bestFit="1" customWidth="1"/>
    <col min="2" max="2" width="23.42578125" style="177" bestFit="1" customWidth="1"/>
    <col min="3" max="16384" width="9.140625" style="177"/>
  </cols>
  <sheetData>
    <row r="1" spans="1:2" s="176" customFormat="1" ht="21" thickBot="1" x14ac:dyDescent="0.35">
      <c r="A1" s="262" t="s">
        <v>107</v>
      </c>
      <c r="B1" s="262"/>
    </row>
    <row r="2" spans="1:2" ht="21" thickTop="1" x14ac:dyDescent="0.3"/>
    <row r="3" spans="1:2" x14ac:dyDescent="0.3">
      <c r="A3" s="177" t="s">
        <v>47</v>
      </c>
      <c r="B3" s="178">
        <v>1550863.91</v>
      </c>
    </row>
    <row r="4" spans="1:2" x14ac:dyDescent="0.3">
      <c r="A4" s="177" t="s">
        <v>48</v>
      </c>
      <c r="B4" s="179">
        <v>1985</v>
      </c>
    </row>
    <row r="5" spans="1:2" x14ac:dyDescent="0.3">
      <c r="A5" s="177" t="s">
        <v>49</v>
      </c>
      <c r="B5" s="178">
        <f>'Stove Oil Prices'!E44</f>
        <v>5.6224047619047619</v>
      </c>
    </row>
    <row r="7" spans="1:2" x14ac:dyDescent="0.3">
      <c r="A7" s="177" t="s">
        <v>50</v>
      </c>
      <c r="B7" s="177">
        <f>B3/B5</f>
        <v>275836.40375877125</v>
      </c>
    </row>
    <row r="8" spans="1:2" x14ac:dyDescent="0.3">
      <c r="A8" s="177" t="s">
        <v>46</v>
      </c>
      <c r="B8" s="180">
        <f>ROUNDDOWN(B7/B4,0)</f>
        <v>138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000"/>
  </sheetPr>
  <dimension ref="A1:G419"/>
  <sheetViews>
    <sheetView view="pageLayout" topLeftCell="A40" zoomScaleNormal="100" zoomScaleSheetLayoutView="100" workbookViewId="0">
      <selection activeCell="A7" sqref="A7"/>
    </sheetView>
  </sheetViews>
  <sheetFormatPr defaultRowHeight="22.5" x14ac:dyDescent="0.35"/>
  <cols>
    <col min="1" max="1" width="36.140625" style="253" bestFit="1" customWidth="1"/>
    <col min="2" max="2" width="14" style="254" bestFit="1" customWidth="1"/>
    <col min="3" max="3" width="8.5703125" style="255" bestFit="1" customWidth="1"/>
    <col min="4" max="4" width="27.5703125" style="256" customWidth="1"/>
    <col min="5" max="5" width="7.28515625" style="199" bestFit="1" customWidth="1"/>
    <col min="6" max="6" width="7.85546875" style="199" bestFit="1" customWidth="1"/>
    <col min="7" max="7" width="8.7109375" style="201" bestFit="1" customWidth="1"/>
    <col min="8" max="249" width="9.140625" style="199"/>
    <col min="250" max="250" width="22.42578125" style="199" customWidth="1"/>
    <col min="251" max="251" width="8.5703125" style="199" customWidth="1"/>
    <col min="252" max="252" width="2.7109375" style="199" bestFit="1" customWidth="1"/>
    <col min="253" max="255" width="15.7109375" style="199" customWidth="1"/>
    <col min="256" max="259" width="0" style="199" hidden="1" customWidth="1"/>
    <col min="260" max="260" width="8.85546875" style="199" customWidth="1"/>
    <col min="261" max="505" width="9.140625" style="199"/>
    <col min="506" max="506" width="22.42578125" style="199" customWidth="1"/>
    <col min="507" max="507" width="8.5703125" style="199" customWidth="1"/>
    <col min="508" max="508" width="2.7109375" style="199" bestFit="1" customWidth="1"/>
    <col min="509" max="511" width="15.7109375" style="199" customWidth="1"/>
    <col min="512" max="515" width="0" style="199" hidden="1" customWidth="1"/>
    <col min="516" max="516" width="8.85546875" style="199" customWidth="1"/>
    <col min="517" max="761" width="9.140625" style="199"/>
    <col min="762" max="762" width="22.42578125" style="199" customWidth="1"/>
    <col min="763" max="763" width="8.5703125" style="199" customWidth="1"/>
    <col min="764" max="764" width="2.7109375" style="199" bestFit="1" customWidth="1"/>
    <col min="765" max="767" width="15.7109375" style="199" customWidth="1"/>
    <col min="768" max="771" width="0" style="199" hidden="1" customWidth="1"/>
    <col min="772" max="772" width="8.85546875" style="199" customWidth="1"/>
    <col min="773" max="1017" width="9.140625" style="199"/>
    <col min="1018" max="1018" width="22.42578125" style="199" customWidth="1"/>
    <col min="1019" max="1019" width="8.5703125" style="199" customWidth="1"/>
    <col min="1020" max="1020" width="2.7109375" style="199" bestFit="1" customWidth="1"/>
    <col min="1021" max="1023" width="15.7109375" style="199" customWidth="1"/>
    <col min="1024" max="1027" width="0" style="199" hidden="1" customWidth="1"/>
    <col min="1028" max="1028" width="8.85546875" style="199" customWidth="1"/>
    <col min="1029" max="1273" width="9.140625" style="199"/>
    <col min="1274" max="1274" width="22.42578125" style="199" customWidth="1"/>
    <col min="1275" max="1275" width="8.5703125" style="199" customWidth="1"/>
    <col min="1276" max="1276" width="2.7109375" style="199" bestFit="1" customWidth="1"/>
    <col min="1277" max="1279" width="15.7109375" style="199" customWidth="1"/>
    <col min="1280" max="1283" width="0" style="199" hidden="1" customWidth="1"/>
    <col min="1284" max="1284" width="8.85546875" style="199" customWidth="1"/>
    <col min="1285" max="1529" width="9.140625" style="199"/>
    <col min="1530" max="1530" width="22.42578125" style="199" customWidth="1"/>
    <col min="1531" max="1531" width="8.5703125" style="199" customWidth="1"/>
    <col min="1532" max="1532" width="2.7109375" style="199" bestFit="1" customWidth="1"/>
    <col min="1533" max="1535" width="15.7109375" style="199" customWidth="1"/>
    <col min="1536" max="1539" width="0" style="199" hidden="1" customWidth="1"/>
    <col min="1540" max="1540" width="8.85546875" style="199" customWidth="1"/>
    <col min="1541" max="1785" width="9.140625" style="199"/>
    <col min="1786" max="1786" width="22.42578125" style="199" customWidth="1"/>
    <col min="1787" max="1787" width="8.5703125" style="199" customWidth="1"/>
    <col min="1788" max="1788" width="2.7109375" style="199" bestFit="1" customWidth="1"/>
    <col min="1789" max="1791" width="15.7109375" style="199" customWidth="1"/>
    <col min="1792" max="1795" width="0" style="199" hidden="1" customWidth="1"/>
    <col min="1796" max="1796" width="8.85546875" style="199" customWidth="1"/>
    <col min="1797" max="2041" width="9.140625" style="199"/>
    <col min="2042" max="2042" width="22.42578125" style="199" customWidth="1"/>
    <col min="2043" max="2043" width="8.5703125" style="199" customWidth="1"/>
    <col min="2044" max="2044" width="2.7109375" style="199" bestFit="1" customWidth="1"/>
    <col min="2045" max="2047" width="15.7109375" style="199" customWidth="1"/>
    <col min="2048" max="2051" width="0" style="199" hidden="1" customWidth="1"/>
    <col min="2052" max="2052" width="8.85546875" style="199" customWidth="1"/>
    <col min="2053" max="2297" width="9.140625" style="199"/>
    <col min="2298" max="2298" width="22.42578125" style="199" customWidth="1"/>
    <col min="2299" max="2299" width="8.5703125" style="199" customWidth="1"/>
    <col min="2300" max="2300" width="2.7109375" style="199" bestFit="1" customWidth="1"/>
    <col min="2301" max="2303" width="15.7109375" style="199" customWidth="1"/>
    <col min="2304" max="2307" width="0" style="199" hidden="1" customWidth="1"/>
    <col min="2308" max="2308" width="8.85546875" style="199" customWidth="1"/>
    <col min="2309" max="2553" width="9.140625" style="199"/>
    <col min="2554" max="2554" width="22.42578125" style="199" customWidth="1"/>
    <col min="2555" max="2555" width="8.5703125" style="199" customWidth="1"/>
    <col min="2556" max="2556" width="2.7109375" style="199" bestFit="1" customWidth="1"/>
    <col min="2557" max="2559" width="15.7109375" style="199" customWidth="1"/>
    <col min="2560" max="2563" width="0" style="199" hidden="1" customWidth="1"/>
    <col min="2564" max="2564" width="8.85546875" style="199" customWidth="1"/>
    <col min="2565" max="2809" width="9.140625" style="199"/>
    <col min="2810" max="2810" width="22.42578125" style="199" customWidth="1"/>
    <col min="2811" max="2811" width="8.5703125" style="199" customWidth="1"/>
    <col min="2812" max="2812" width="2.7109375" style="199" bestFit="1" customWidth="1"/>
    <col min="2813" max="2815" width="15.7109375" style="199" customWidth="1"/>
    <col min="2816" max="2819" width="0" style="199" hidden="1" customWidth="1"/>
    <col min="2820" max="2820" width="8.85546875" style="199" customWidth="1"/>
    <col min="2821" max="3065" width="9.140625" style="199"/>
    <col min="3066" max="3066" width="22.42578125" style="199" customWidth="1"/>
    <col min="3067" max="3067" width="8.5703125" style="199" customWidth="1"/>
    <col min="3068" max="3068" width="2.7109375" style="199" bestFit="1" customWidth="1"/>
    <col min="3069" max="3071" width="15.7109375" style="199" customWidth="1"/>
    <col min="3072" max="3075" width="0" style="199" hidden="1" customWidth="1"/>
    <col min="3076" max="3076" width="8.85546875" style="199" customWidth="1"/>
    <col min="3077" max="3321" width="9.140625" style="199"/>
    <col min="3322" max="3322" width="22.42578125" style="199" customWidth="1"/>
    <col min="3323" max="3323" width="8.5703125" style="199" customWidth="1"/>
    <col min="3324" max="3324" width="2.7109375" style="199" bestFit="1" customWidth="1"/>
    <col min="3325" max="3327" width="15.7109375" style="199" customWidth="1"/>
    <col min="3328" max="3331" width="0" style="199" hidden="1" customWidth="1"/>
    <col min="3332" max="3332" width="8.85546875" style="199" customWidth="1"/>
    <col min="3333" max="3577" width="9.140625" style="199"/>
    <col min="3578" max="3578" width="22.42578125" style="199" customWidth="1"/>
    <col min="3579" max="3579" width="8.5703125" style="199" customWidth="1"/>
    <col min="3580" max="3580" width="2.7109375" style="199" bestFit="1" customWidth="1"/>
    <col min="3581" max="3583" width="15.7109375" style="199" customWidth="1"/>
    <col min="3584" max="3587" width="0" style="199" hidden="1" customWidth="1"/>
    <col min="3588" max="3588" width="8.85546875" style="199" customWidth="1"/>
    <col min="3589" max="3833" width="9.140625" style="199"/>
    <col min="3834" max="3834" width="22.42578125" style="199" customWidth="1"/>
    <col min="3835" max="3835" width="8.5703125" style="199" customWidth="1"/>
    <col min="3836" max="3836" width="2.7109375" style="199" bestFit="1" customWidth="1"/>
    <col min="3837" max="3839" width="15.7109375" style="199" customWidth="1"/>
    <col min="3840" max="3843" width="0" style="199" hidden="1" customWidth="1"/>
    <col min="3844" max="3844" width="8.85546875" style="199" customWidth="1"/>
    <col min="3845" max="4089" width="9.140625" style="199"/>
    <col min="4090" max="4090" width="22.42578125" style="199" customWidth="1"/>
    <col min="4091" max="4091" width="8.5703125" style="199" customWidth="1"/>
    <col min="4092" max="4092" width="2.7109375" style="199" bestFit="1" customWidth="1"/>
    <col min="4093" max="4095" width="15.7109375" style="199" customWidth="1"/>
    <col min="4096" max="4099" width="0" style="199" hidden="1" customWidth="1"/>
    <col min="4100" max="4100" width="8.85546875" style="199" customWidth="1"/>
    <col min="4101" max="4345" width="9.140625" style="199"/>
    <col min="4346" max="4346" width="22.42578125" style="199" customWidth="1"/>
    <col min="4347" max="4347" width="8.5703125" style="199" customWidth="1"/>
    <col min="4348" max="4348" width="2.7109375" style="199" bestFit="1" customWidth="1"/>
    <col min="4349" max="4351" width="15.7109375" style="199" customWidth="1"/>
    <col min="4352" max="4355" width="0" style="199" hidden="1" customWidth="1"/>
    <col min="4356" max="4356" width="8.85546875" style="199" customWidth="1"/>
    <col min="4357" max="4601" width="9.140625" style="199"/>
    <col min="4602" max="4602" width="22.42578125" style="199" customWidth="1"/>
    <col min="4603" max="4603" width="8.5703125" style="199" customWidth="1"/>
    <col min="4604" max="4604" width="2.7109375" style="199" bestFit="1" customWidth="1"/>
    <col min="4605" max="4607" width="15.7109375" style="199" customWidth="1"/>
    <col min="4608" max="4611" width="0" style="199" hidden="1" customWidth="1"/>
    <col min="4612" max="4612" width="8.85546875" style="199" customWidth="1"/>
    <col min="4613" max="4857" width="9.140625" style="199"/>
    <col min="4858" max="4858" width="22.42578125" style="199" customWidth="1"/>
    <col min="4859" max="4859" width="8.5703125" style="199" customWidth="1"/>
    <col min="4860" max="4860" width="2.7109375" style="199" bestFit="1" customWidth="1"/>
    <col min="4861" max="4863" width="15.7109375" style="199" customWidth="1"/>
    <col min="4864" max="4867" width="0" style="199" hidden="1" customWidth="1"/>
    <col min="4868" max="4868" width="8.85546875" style="199" customWidth="1"/>
    <col min="4869" max="5113" width="9.140625" style="199"/>
    <col min="5114" max="5114" width="22.42578125" style="199" customWidth="1"/>
    <col min="5115" max="5115" width="8.5703125" style="199" customWidth="1"/>
    <col min="5116" max="5116" width="2.7109375" style="199" bestFit="1" customWidth="1"/>
    <col min="5117" max="5119" width="15.7109375" style="199" customWidth="1"/>
    <col min="5120" max="5123" width="0" style="199" hidden="1" customWidth="1"/>
    <col min="5124" max="5124" width="8.85546875" style="199" customWidth="1"/>
    <col min="5125" max="5369" width="9.140625" style="199"/>
    <col min="5370" max="5370" width="22.42578125" style="199" customWidth="1"/>
    <col min="5371" max="5371" width="8.5703125" style="199" customWidth="1"/>
    <col min="5372" max="5372" width="2.7109375" style="199" bestFit="1" customWidth="1"/>
    <col min="5373" max="5375" width="15.7109375" style="199" customWidth="1"/>
    <col min="5376" max="5379" width="0" style="199" hidden="1" customWidth="1"/>
    <col min="5380" max="5380" width="8.85546875" style="199" customWidth="1"/>
    <col min="5381" max="5625" width="9.140625" style="199"/>
    <col min="5626" max="5626" width="22.42578125" style="199" customWidth="1"/>
    <col min="5627" max="5627" width="8.5703125" style="199" customWidth="1"/>
    <col min="5628" max="5628" width="2.7109375" style="199" bestFit="1" customWidth="1"/>
    <col min="5629" max="5631" width="15.7109375" style="199" customWidth="1"/>
    <col min="5632" max="5635" width="0" style="199" hidden="1" customWidth="1"/>
    <col min="5636" max="5636" width="8.85546875" style="199" customWidth="1"/>
    <col min="5637" max="5881" width="9.140625" style="199"/>
    <col min="5882" max="5882" width="22.42578125" style="199" customWidth="1"/>
    <col min="5883" max="5883" width="8.5703125" style="199" customWidth="1"/>
    <col min="5884" max="5884" width="2.7109375" style="199" bestFit="1" customWidth="1"/>
    <col min="5885" max="5887" width="15.7109375" style="199" customWidth="1"/>
    <col min="5888" max="5891" width="0" style="199" hidden="1" customWidth="1"/>
    <col min="5892" max="5892" width="8.85546875" style="199" customWidth="1"/>
    <col min="5893" max="6137" width="9.140625" style="199"/>
    <col min="6138" max="6138" width="22.42578125" style="199" customWidth="1"/>
    <col min="6139" max="6139" width="8.5703125" style="199" customWidth="1"/>
    <col min="6140" max="6140" width="2.7109375" style="199" bestFit="1" customWidth="1"/>
    <col min="6141" max="6143" width="15.7109375" style="199" customWidth="1"/>
    <col min="6144" max="6147" width="0" style="199" hidden="1" customWidth="1"/>
    <col min="6148" max="6148" width="8.85546875" style="199" customWidth="1"/>
    <col min="6149" max="6393" width="9.140625" style="199"/>
    <col min="6394" max="6394" width="22.42578125" style="199" customWidth="1"/>
    <col min="6395" max="6395" width="8.5703125" style="199" customWidth="1"/>
    <col min="6396" max="6396" width="2.7109375" style="199" bestFit="1" customWidth="1"/>
    <col min="6397" max="6399" width="15.7109375" style="199" customWidth="1"/>
    <col min="6400" max="6403" width="0" style="199" hidden="1" customWidth="1"/>
    <col min="6404" max="6404" width="8.85546875" style="199" customWidth="1"/>
    <col min="6405" max="6649" width="9.140625" style="199"/>
    <col min="6650" max="6650" width="22.42578125" style="199" customWidth="1"/>
    <col min="6651" max="6651" width="8.5703125" style="199" customWidth="1"/>
    <col min="6652" max="6652" width="2.7109375" style="199" bestFit="1" customWidth="1"/>
    <col min="6653" max="6655" width="15.7109375" style="199" customWidth="1"/>
    <col min="6656" max="6659" width="0" style="199" hidden="1" customWidth="1"/>
    <col min="6660" max="6660" width="8.85546875" style="199" customWidth="1"/>
    <col min="6661" max="6905" width="9.140625" style="199"/>
    <col min="6906" max="6906" width="22.42578125" style="199" customWidth="1"/>
    <col min="6907" max="6907" width="8.5703125" style="199" customWidth="1"/>
    <col min="6908" max="6908" width="2.7109375" style="199" bestFit="1" customWidth="1"/>
    <col min="6909" max="6911" width="15.7109375" style="199" customWidth="1"/>
    <col min="6912" max="6915" width="0" style="199" hidden="1" customWidth="1"/>
    <col min="6916" max="6916" width="8.85546875" style="199" customWidth="1"/>
    <col min="6917" max="7161" width="9.140625" style="199"/>
    <col min="7162" max="7162" width="22.42578125" style="199" customWidth="1"/>
    <col min="7163" max="7163" width="8.5703125" style="199" customWidth="1"/>
    <col min="7164" max="7164" width="2.7109375" style="199" bestFit="1" customWidth="1"/>
    <col min="7165" max="7167" width="15.7109375" style="199" customWidth="1"/>
    <col min="7168" max="7171" width="0" style="199" hidden="1" customWidth="1"/>
    <col min="7172" max="7172" width="8.85546875" style="199" customWidth="1"/>
    <col min="7173" max="7417" width="9.140625" style="199"/>
    <col min="7418" max="7418" width="22.42578125" style="199" customWidth="1"/>
    <col min="7419" max="7419" width="8.5703125" style="199" customWidth="1"/>
    <col min="7420" max="7420" width="2.7109375" style="199" bestFit="1" customWidth="1"/>
    <col min="7421" max="7423" width="15.7109375" style="199" customWidth="1"/>
    <col min="7424" max="7427" width="0" style="199" hidden="1" customWidth="1"/>
    <col min="7428" max="7428" width="8.85546875" style="199" customWidth="1"/>
    <col min="7429" max="7673" width="9.140625" style="199"/>
    <col min="7674" max="7674" width="22.42578125" style="199" customWidth="1"/>
    <col min="7675" max="7675" width="8.5703125" style="199" customWidth="1"/>
    <col min="7676" max="7676" width="2.7109375" style="199" bestFit="1" customWidth="1"/>
    <col min="7677" max="7679" width="15.7109375" style="199" customWidth="1"/>
    <col min="7680" max="7683" width="0" style="199" hidden="1" customWidth="1"/>
    <col min="7684" max="7684" width="8.85546875" style="199" customWidth="1"/>
    <col min="7685" max="7929" width="9.140625" style="199"/>
    <col min="7930" max="7930" width="22.42578125" style="199" customWidth="1"/>
    <col min="7931" max="7931" width="8.5703125" style="199" customWidth="1"/>
    <col min="7932" max="7932" width="2.7109375" style="199" bestFit="1" customWidth="1"/>
    <col min="7933" max="7935" width="15.7109375" style="199" customWidth="1"/>
    <col min="7936" max="7939" width="0" style="199" hidden="1" customWidth="1"/>
    <col min="7940" max="7940" width="8.85546875" style="199" customWidth="1"/>
    <col min="7941" max="8185" width="9.140625" style="199"/>
    <col min="8186" max="8186" width="22.42578125" style="199" customWidth="1"/>
    <col min="8187" max="8187" width="8.5703125" style="199" customWidth="1"/>
    <col min="8188" max="8188" width="2.7109375" style="199" bestFit="1" customWidth="1"/>
    <col min="8189" max="8191" width="15.7109375" style="199" customWidth="1"/>
    <col min="8192" max="8195" width="0" style="199" hidden="1" customWidth="1"/>
    <col min="8196" max="8196" width="8.85546875" style="199" customWidth="1"/>
    <col min="8197" max="8441" width="9.140625" style="199"/>
    <col min="8442" max="8442" width="22.42578125" style="199" customWidth="1"/>
    <col min="8443" max="8443" width="8.5703125" style="199" customWidth="1"/>
    <col min="8444" max="8444" width="2.7109375" style="199" bestFit="1" customWidth="1"/>
    <col min="8445" max="8447" width="15.7109375" style="199" customWidth="1"/>
    <col min="8448" max="8451" width="0" style="199" hidden="1" customWidth="1"/>
    <col min="8452" max="8452" width="8.85546875" style="199" customWidth="1"/>
    <col min="8453" max="8697" width="9.140625" style="199"/>
    <col min="8698" max="8698" width="22.42578125" style="199" customWidth="1"/>
    <col min="8699" max="8699" width="8.5703125" style="199" customWidth="1"/>
    <col min="8700" max="8700" width="2.7109375" style="199" bestFit="1" customWidth="1"/>
    <col min="8701" max="8703" width="15.7109375" style="199" customWidth="1"/>
    <col min="8704" max="8707" width="0" style="199" hidden="1" customWidth="1"/>
    <col min="8708" max="8708" width="8.85546875" style="199" customWidth="1"/>
    <col min="8709" max="8953" width="9.140625" style="199"/>
    <col min="8954" max="8954" width="22.42578125" style="199" customWidth="1"/>
    <col min="8955" max="8955" width="8.5703125" style="199" customWidth="1"/>
    <col min="8956" max="8956" width="2.7109375" style="199" bestFit="1" customWidth="1"/>
    <col min="8957" max="8959" width="15.7109375" style="199" customWidth="1"/>
    <col min="8960" max="8963" width="0" style="199" hidden="1" customWidth="1"/>
    <col min="8964" max="8964" width="8.85546875" style="199" customWidth="1"/>
    <col min="8965" max="9209" width="9.140625" style="199"/>
    <col min="9210" max="9210" width="22.42578125" style="199" customWidth="1"/>
    <col min="9211" max="9211" width="8.5703125" style="199" customWidth="1"/>
    <col min="9212" max="9212" width="2.7109375" style="199" bestFit="1" customWidth="1"/>
    <col min="9213" max="9215" width="15.7109375" style="199" customWidth="1"/>
    <col min="9216" max="9219" width="0" style="199" hidden="1" customWidth="1"/>
    <col min="9220" max="9220" width="8.85546875" style="199" customWidth="1"/>
    <col min="9221" max="9465" width="9.140625" style="199"/>
    <col min="9466" max="9466" width="22.42578125" style="199" customWidth="1"/>
    <col min="9467" max="9467" width="8.5703125" style="199" customWidth="1"/>
    <col min="9468" max="9468" width="2.7109375" style="199" bestFit="1" customWidth="1"/>
    <col min="9469" max="9471" width="15.7109375" style="199" customWidth="1"/>
    <col min="9472" max="9475" width="0" style="199" hidden="1" customWidth="1"/>
    <col min="9476" max="9476" width="8.85546875" style="199" customWidth="1"/>
    <col min="9477" max="9721" width="9.140625" style="199"/>
    <col min="9722" max="9722" width="22.42578125" style="199" customWidth="1"/>
    <col min="9723" max="9723" width="8.5703125" style="199" customWidth="1"/>
    <col min="9724" max="9724" width="2.7109375" style="199" bestFit="1" customWidth="1"/>
    <col min="9725" max="9727" width="15.7109375" style="199" customWidth="1"/>
    <col min="9728" max="9731" width="0" style="199" hidden="1" customWidth="1"/>
    <col min="9732" max="9732" width="8.85546875" style="199" customWidth="1"/>
    <col min="9733" max="9977" width="9.140625" style="199"/>
    <col min="9978" max="9978" width="22.42578125" style="199" customWidth="1"/>
    <col min="9979" max="9979" width="8.5703125" style="199" customWidth="1"/>
    <col min="9980" max="9980" width="2.7109375" style="199" bestFit="1" customWidth="1"/>
    <col min="9981" max="9983" width="15.7109375" style="199" customWidth="1"/>
    <col min="9984" max="9987" width="0" style="199" hidden="1" customWidth="1"/>
    <col min="9988" max="9988" width="8.85546875" style="199" customWidth="1"/>
    <col min="9989" max="10233" width="9.140625" style="199"/>
    <col min="10234" max="10234" width="22.42578125" style="199" customWidth="1"/>
    <col min="10235" max="10235" width="8.5703125" style="199" customWidth="1"/>
    <col min="10236" max="10236" width="2.7109375" style="199" bestFit="1" customWidth="1"/>
    <col min="10237" max="10239" width="15.7109375" style="199" customWidth="1"/>
    <col min="10240" max="10243" width="0" style="199" hidden="1" customWidth="1"/>
    <col min="10244" max="10244" width="8.85546875" style="199" customWidth="1"/>
    <col min="10245" max="10489" width="9.140625" style="199"/>
    <col min="10490" max="10490" width="22.42578125" style="199" customWidth="1"/>
    <col min="10491" max="10491" width="8.5703125" style="199" customWidth="1"/>
    <col min="10492" max="10492" width="2.7109375" style="199" bestFit="1" customWidth="1"/>
    <col min="10493" max="10495" width="15.7109375" style="199" customWidth="1"/>
    <col min="10496" max="10499" width="0" style="199" hidden="1" customWidth="1"/>
    <col min="10500" max="10500" width="8.85546875" style="199" customWidth="1"/>
    <col min="10501" max="10745" width="9.140625" style="199"/>
    <col min="10746" max="10746" width="22.42578125" style="199" customWidth="1"/>
    <col min="10747" max="10747" width="8.5703125" style="199" customWidth="1"/>
    <col min="10748" max="10748" width="2.7109375" style="199" bestFit="1" customWidth="1"/>
    <col min="10749" max="10751" width="15.7109375" style="199" customWidth="1"/>
    <col min="10752" max="10755" width="0" style="199" hidden="1" customWidth="1"/>
    <col min="10756" max="10756" width="8.85546875" style="199" customWidth="1"/>
    <col min="10757" max="11001" width="9.140625" style="199"/>
    <col min="11002" max="11002" width="22.42578125" style="199" customWidth="1"/>
    <col min="11003" max="11003" width="8.5703125" style="199" customWidth="1"/>
    <col min="11004" max="11004" width="2.7109375" style="199" bestFit="1" customWidth="1"/>
    <col min="11005" max="11007" width="15.7109375" style="199" customWidth="1"/>
    <col min="11008" max="11011" width="0" style="199" hidden="1" customWidth="1"/>
    <col min="11012" max="11012" width="8.85546875" style="199" customWidth="1"/>
    <col min="11013" max="11257" width="9.140625" style="199"/>
    <col min="11258" max="11258" width="22.42578125" style="199" customWidth="1"/>
    <col min="11259" max="11259" width="8.5703125" style="199" customWidth="1"/>
    <col min="11260" max="11260" width="2.7109375" style="199" bestFit="1" customWidth="1"/>
    <col min="11261" max="11263" width="15.7109375" style="199" customWidth="1"/>
    <col min="11264" max="11267" width="0" style="199" hidden="1" customWidth="1"/>
    <col min="11268" max="11268" width="8.85546875" style="199" customWidth="1"/>
    <col min="11269" max="11513" width="9.140625" style="199"/>
    <col min="11514" max="11514" width="22.42578125" style="199" customWidth="1"/>
    <col min="11515" max="11515" width="8.5703125" style="199" customWidth="1"/>
    <col min="11516" max="11516" width="2.7109375" style="199" bestFit="1" customWidth="1"/>
    <col min="11517" max="11519" width="15.7109375" style="199" customWidth="1"/>
    <col min="11520" max="11523" width="0" style="199" hidden="1" customWidth="1"/>
    <col min="11524" max="11524" width="8.85546875" style="199" customWidth="1"/>
    <col min="11525" max="11769" width="9.140625" style="199"/>
    <col min="11770" max="11770" width="22.42578125" style="199" customWidth="1"/>
    <col min="11771" max="11771" width="8.5703125" style="199" customWidth="1"/>
    <col min="11772" max="11772" width="2.7109375" style="199" bestFit="1" customWidth="1"/>
    <col min="11773" max="11775" width="15.7109375" style="199" customWidth="1"/>
    <col min="11776" max="11779" width="0" style="199" hidden="1" customWidth="1"/>
    <col min="11780" max="11780" width="8.85546875" style="199" customWidth="1"/>
    <col min="11781" max="12025" width="9.140625" style="199"/>
    <col min="12026" max="12026" width="22.42578125" style="199" customWidth="1"/>
    <col min="12027" max="12027" width="8.5703125" style="199" customWidth="1"/>
    <col min="12028" max="12028" width="2.7109375" style="199" bestFit="1" customWidth="1"/>
    <col min="12029" max="12031" width="15.7109375" style="199" customWidth="1"/>
    <col min="12032" max="12035" width="0" style="199" hidden="1" customWidth="1"/>
    <col min="12036" max="12036" width="8.85546875" style="199" customWidth="1"/>
    <col min="12037" max="12281" width="9.140625" style="199"/>
    <col min="12282" max="12282" width="22.42578125" style="199" customWidth="1"/>
    <col min="12283" max="12283" width="8.5703125" style="199" customWidth="1"/>
    <col min="12284" max="12284" width="2.7109375" style="199" bestFit="1" customWidth="1"/>
    <col min="12285" max="12287" width="15.7109375" style="199" customWidth="1"/>
    <col min="12288" max="12291" width="0" style="199" hidden="1" customWidth="1"/>
    <col min="12292" max="12292" width="8.85546875" style="199" customWidth="1"/>
    <col min="12293" max="12537" width="9.140625" style="199"/>
    <col min="12538" max="12538" width="22.42578125" style="199" customWidth="1"/>
    <col min="12539" max="12539" width="8.5703125" style="199" customWidth="1"/>
    <col min="12540" max="12540" width="2.7109375" style="199" bestFit="1" customWidth="1"/>
    <col min="12541" max="12543" width="15.7109375" style="199" customWidth="1"/>
    <col min="12544" max="12547" width="0" style="199" hidden="1" customWidth="1"/>
    <col min="12548" max="12548" width="8.85546875" style="199" customWidth="1"/>
    <col min="12549" max="12793" width="9.140625" style="199"/>
    <col min="12794" max="12794" width="22.42578125" style="199" customWidth="1"/>
    <col min="12795" max="12795" width="8.5703125" style="199" customWidth="1"/>
    <col min="12796" max="12796" width="2.7109375" style="199" bestFit="1" customWidth="1"/>
    <col min="12797" max="12799" width="15.7109375" style="199" customWidth="1"/>
    <col min="12800" max="12803" width="0" style="199" hidden="1" customWidth="1"/>
    <col min="12804" max="12804" width="8.85546875" style="199" customWidth="1"/>
    <col min="12805" max="13049" width="9.140625" style="199"/>
    <col min="13050" max="13050" width="22.42578125" style="199" customWidth="1"/>
    <col min="13051" max="13051" width="8.5703125" style="199" customWidth="1"/>
    <col min="13052" max="13052" width="2.7109375" style="199" bestFit="1" customWidth="1"/>
    <col min="13053" max="13055" width="15.7109375" style="199" customWidth="1"/>
    <col min="13056" max="13059" width="0" style="199" hidden="1" customWidth="1"/>
    <col min="13060" max="13060" width="8.85546875" style="199" customWidth="1"/>
    <col min="13061" max="13305" width="9.140625" style="199"/>
    <col min="13306" max="13306" width="22.42578125" style="199" customWidth="1"/>
    <col min="13307" max="13307" width="8.5703125" style="199" customWidth="1"/>
    <col min="13308" max="13308" width="2.7109375" style="199" bestFit="1" customWidth="1"/>
    <col min="13309" max="13311" width="15.7109375" style="199" customWidth="1"/>
    <col min="13312" max="13315" width="0" style="199" hidden="1" customWidth="1"/>
    <col min="13316" max="13316" width="8.85546875" style="199" customWidth="1"/>
    <col min="13317" max="13561" width="9.140625" style="199"/>
    <col min="13562" max="13562" width="22.42578125" style="199" customWidth="1"/>
    <col min="13563" max="13563" width="8.5703125" style="199" customWidth="1"/>
    <col min="13564" max="13564" width="2.7109375" style="199" bestFit="1" customWidth="1"/>
    <col min="13565" max="13567" width="15.7109375" style="199" customWidth="1"/>
    <col min="13568" max="13571" width="0" style="199" hidden="1" customWidth="1"/>
    <col min="13572" max="13572" width="8.85546875" style="199" customWidth="1"/>
    <col min="13573" max="13817" width="9.140625" style="199"/>
    <col min="13818" max="13818" width="22.42578125" style="199" customWidth="1"/>
    <col min="13819" max="13819" width="8.5703125" style="199" customWidth="1"/>
    <col min="13820" max="13820" width="2.7109375" style="199" bestFit="1" customWidth="1"/>
    <col min="13821" max="13823" width="15.7109375" style="199" customWidth="1"/>
    <col min="13824" max="13827" width="0" style="199" hidden="1" customWidth="1"/>
    <col min="13828" max="13828" width="8.85546875" style="199" customWidth="1"/>
    <col min="13829" max="14073" width="9.140625" style="199"/>
    <col min="14074" max="14074" width="22.42578125" style="199" customWidth="1"/>
    <col min="14075" max="14075" width="8.5703125" style="199" customWidth="1"/>
    <col min="14076" max="14076" width="2.7109375" style="199" bestFit="1" customWidth="1"/>
    <col min="14077" max="14079" width="15.7109375" style="199" customWidth="1"/>
    <col min="14080" max="14083" width="0" style="199" hidden="1" customWidth="1"/>
    <col min="14084" max="14084" width="8.85546875" style="199" customWidth="1"/>
    <col min="14085" max="14329" width="9.140625" style="199"/>
    <col min="14330" max="14330" width="22.42578125" style="199" customWidth="1"/>
    <col min="14331" max="14331" width="8.5703125" style="199" customWidth="1"/>
    <col min="14332" max="14332" width="2.7109375" style="199" bestFit="1" customWidth="1"/>
    <col min="14333" max="14335" width="15.7109375" style="199" customWidth="1"/>
    <col min="14336" max="14339" width="0" style="199" hidden="1" customWidth="1"/>
    <col min="14340" max="14340" width="8.85546875" style="199" customWidth="1"/>
    <col min="14341" max="14585" width="9.140625" style="199"/>
    <col min="14586" max="14586" width="22.42578125" style="199" customWidth="1"/>
    <col min="14587" max="14587" width="8.5703125" style="199" customWidth="1"/>
    <col min="14588" max="14588" width="2.7109375" style="199" bestFit="1" customWidth="1"/>
    <col min="14589" max="14591" width="15.7109375" style="199" customWidth="1"/>
    <col min="14592" max="14595" width="0" style="199" hidden="1" customWidth="1"/>
    <col min="14596" max="14596" width="8.85546875" style="199" customWidth="1"/>
    <col min="14597" max="14841" width="9.140625" style="199"/>
    <col min="14842" max="14842" width="22.42578125" style="199" customWidth="1"/>
    <col min="14843" max="14843" width="8.5703125" style="199" customWidth="1"/>
    <col min="14844" max="14844" width="2.7109375" style="199" bestFit="1" customWidth="1"/>
    <col min="14845" max="14847" width="15.7109375" style="199" customWidth="1"/>
    <col min="14848" max="14851" width="0" style="199" hidden="1" customWidth="1"/>
    <col min="14852" max="14852" width="8.85546875" style="199" customWidth="1"/>
    <col min="14853" max="15097" width="9.140625" style="199"/>
    <col min="15098" max="15098" width="22.42578125" style="199" customWidth="1"/>
    <col min="15099" max="15099" width="8.5703125" style="199" customWidth="1"/>
    <col min="15100" max="15100" width="2.7109375" style="199" bestFit="1" customWidth="1"/>
    <col min="15101" max="15103" width="15.7109375" style="199" customWidth="1"/>
    <col min="15104" max="15107" width="0" style="199" hidden="1" customWidth="1"/>
    <col min="15108" max="15108" width="8.85546875" style="199" customWidth="1"/>
    <col min="15109" max="15353" width="9.140625" style="199"/>
    <col min="15354" max="15354" width="22.42578125" style="199" customWidth="1"/>
    <col min="15355" max="15355" width="8.5703125" style="199" customWidth="1"/>
    <col min="15356" max="15356" width="2.7109375" style="199" bestFit="1" customWidth="1"/>
    <col min="15357" max="15359" width="15.7109375" style="199" customWidth="1"/>
    <col min="15360" max="15363" width="0" style="199" hidden="1" customWidth="1"/>
    <col min="15364" max="15364" width="8.85546875" style="199" customWidth="1"/>
    <col min="15365" max="15609" width="9.140625" style="199"/>
    <col min="15610" max="15610" width="22.42578125" style="199" customWidth="1"/>
    <col min="15611" max="15611" width="8.5703125" style="199" customWidth="1"/>
    <col min="15612" max="15612" width="2.7109375" style="199" bestFit="1" customWidth="1"/>
    <col min="15613" max="15615" width="15.7109375" style="199" customWidth="1"/>
    <col min="15616" max="15619" width="0" style="199" hidden="1" customWidth="1"/>
    <col min="15620" max="15620" width="8.85546875" style="199" customWidth="1"/>
    <col min="15621" max="15865" width="9.140625" style="199"/>
    <col min="15866" max="15866" width="22.42578125" style="199" customWidth="1"/>
    <col min="15867" max="15867" width="8.5703125" style="199" customWidth="1"/>
    <col min="15868" max="15868" width="2.7109375" style="199" bestFit="1" customWidth="1"/>
    <col min="15869" max="15871" width="15.7109375" style="199" customWidth="1"/>
    <col min="15872" max="15875" width="0" style="199" hidden="1" customWidth="1"/>
    <col min="15876" max="15876" width="8.85546875" style="199" customWidth="1"/>
    <col min="15877" max="16121" width="9.140625" style="199"/>
    <col min="16122" max="16122" width="22.42578125" style="199" customWidth="1"/>
    <col min="16123" max="16123" width="8.5703125" style="199" customWidth="1"/>
    <col min="16124" max="16124" width="2.7109375" style="199" bestFit="1" customWidth="1"/>
    <col min="16125" max="16127" width="15.7109375" style="199" customWidth="1"/>
    <col min="16128" max="16131" width="0" style="199" hidden="1" customWidth="1"/>
    <col min="16132" max="16132" width="8.85546875" style="199" customWidth="1"/>
    <col min="16133" max="16384" width="9.140625" style="199"/>
  </cols>
  <sheetData>
    <row r="1" spans="1:7" s="206" customFormat="1" ht="23.25" thickBot="1" x14ac:dyDescent="0.4">
      <c r="A1" s="230" t="s">
        <v>5</v>
      </c>
      <c r="B1" s="231"/>
      <c r="C1" s="232" t="s">
        <v>111</v>
      </c>
      <c r="D1" s="233" t="s">
        <v>113</v>
      </c>
      <c r="F1" s="206" t="s">
        <v>78</v>
      </c>
      <c r="G1" s="207"/>
    </row>
    <row r="2" spans="1:7" x14ac:dyDescent="0.35">
      <c r="A2" s="234">
        <f>'Stove Oil Prices'!E2</f>
        <v>5.08</v>
      </c>
      <c r="B2" s="235" t="s">
        <v>112</v>
      </c>
      <c r="C2" s="236">
        <v>1</v>
      </c>
      <c r="D2" s="237">
        <f>ROUNDDOWN((F2*G2),0)</f>
        <v>876</v>
      </c>
      <c r="F2" s="200">
        <v>1.25</v>
      </c>
      <c r="G2" s="201">
        <f>ROUNDDOWN(A2*F7,0)</f>
        <v>701</v>
      </c>
    </row>
    <row r="3" spans="1:7" x14ac:dyDescent="0.35">
      <c r="A3" s="238"/>
      <c r="B3" s="239"/>
      <c r="C3" s="240">
        <v>2</v>
      </c>
      <c r="D3" s="241">
        <f>ROUNDDOWN((F3*G3),0)</f>
        <v>701</v>
      </c>
      <c r="F3" s="200">
        <v>1</v>
      </c>
      <c r="G3" s="201">
        <f>G2</f>
        <v>701</v>
      </c>
    </row>
    <row r="4" spans="1:7" x14ac:dyDescent="0.35">
      <c r="A4" s="242"/>
      <c r="B4" s="243"/>
      <c r="C4" s="244">
        <v>3</v>
      </c>
      <c r="D4" s="245">
        <f>ROUNDDOWN((F4*G4),0)</f>
        <v>630</v>
      </c>
      <c r="F4" s="200">
        <v>0.9</v>
      </c>
      <c r="G4" s="201">
        <f>G3</f>
        <v>701</v>
      </c>
    </row>
    <row r="5" spans="1:7" ht="23.25" thickBot="1" x14ac:dyDescent="0.4">
      <c r="A5" s="238"/>
      <c r="B5" s="246"/>
      <c r="C5" s="240">
        <v>4</v>
      </c>
      <c r="D5" s="241">
        <f>ROUNDDOWN((F5*G5),0)</f>
        <v>560</v>
      </c>
      <c r="F5" s="200">
        <v>0.8</v>
      </c>
      <c r="G5" s="201">
        <f>G4</f>
        <v>701</v>
      </c>
    </row>
    <row r="6" spans="1:7" ht="23.25" thickTop="1" x14ac:dyDescent="0.35">
      <c r="A6" s="247" t="s">
        <v>85</v>
      </c>
      <c r="B6" s="248"/>
      <c r="C6" s="249">
        <v>1</v>
      </c>
      <c r="D6" s="250">
        <f>D2+100</f>
        <v>976</v>
      </c>
    </row>
    <row r="7" spans="1:7" x14ac:dyDescent="0.35">
      <c r="A7" s="242" t="s">
        <v>83</v>
      </c>
      <c r="B7" s="243"/>
      <c r="C7" s="240">
        <v>2</v>
      </c>
      <c r="D7" s="241">
        <f>D3+100</f>
        <v>801</v>
      </c>
      <c r="E7" s="202" t="s">
        <v>46</v>
      </c>
      <c r="F7" s="203">
        <f>'LIHEAP Formula'!B8</f>
        <v>138</v>
      </c>
    </row>
    <row r="8" spans="1:7" x14ac:dyDescent="0.35">
      <c r="A8" s="242" t="s">
        <v>84</v>
      </c>
      <c r="B8" s="243"/>
      <c r="C8" s="251">
        <v>3</v>
      </c>
      <c r="D8" s="252">
        <f>D4+100</f>
        <v>730</v>
      </c>
    </row>
    <row r="9" spans="1:7" x14ac:dyDescent="0.35">
      <c r="A9" s="242"/>
      <c r="B9" s="243"/>
      <c r="C9" s="240">
        <v>4</v>
      </c>
      <c r="D9" s="241">
        <f>D5+100</f>
        <v>660</v>
      </c>
    </row>
    <row r="10" spans="1:7" ht="23.25" thickBot="1" x14ac:dyDescent="0.4"/>
    <row r="11" spans="1:7" s="197" customFormat="1" ht="23.25" thickBot="1" x14ac:dyDescent="0.4">
      <c r="A11" s="230" t="s">
        <v>6</v>
      </c>
      <c r="B11" s="231"/>
      <c r="C11" s="232" t="s">
        <v>111</v>
      </c>
      <c r="D11" s="233" t="s">
        <v>113</v>
      </c>
      <c r="G11" s="198"/>
    </row>
    <row r="12" spans="1:7" x14ac:dyDescent="0.35">
      <c r="A12" s="234">
        <f>'Stove Oil Prices'!E3</f>
        <v>4.78</v>
      </c>
      <c r="B12" s="235" t="s">
        <v>112</v>
      </c>
      <c r="C12" s="236">
        <v>1</v>
      </c>
      <c r="D12" s="237">
        <f>ROUNDDOWN((F12*G12),0)</f>
        <v>823</v>
      </c>
      <c r="F12" s="200">
        <v>1.25</v>
      </c>
      <c r="G12" s="201">
        <f>ROUNDDOWN(A12*F17,0)</f>
        <v>659</v>
      </c>
    </row>
    <row r="13" spans="1:7" x14ac:dyDescent="0.35">
      <c r="A13" s="238"/>
      <c r="B13" s="239"/>
      <c r="C13" s="240">
        <v>2</v>
      </c>
      <c r="D13" s="241">
        <f>ROUNDDOWN((F13*G13),0)</f>
        <v>659</v>
      </c>
      <c r="F13" s="200">
        <v>1</v>
      </c>
      <c r="G13" s="201">
        <f>G12</f>
        <v>659</v>
      </c>
    </row>
    <row r="14" spans="1:7" x14ac:dyDescent="0.35">
      <c r="A14" s="242"/>
      <c r="B14" s="243"/>
      <c r="C14" s="244">
        <v>3</v>
      </c>
      <c r="D14" s="245">
        <f>ROUNDDOWN((F14*G14),0)</f>
        <v>593</v>
      </c>
      <c r="F14" s="200">
        <v>0.9</v>
      </c>
      <c r="G14" s="201">
        <f>G13</f>
        <v>659</v>
      </c>
    </row>
    <row r="15" spans="1:7" ht="23.25" thickBot="1" x14ac:dyDescent="0.4">
      <c r="A15" s="238"/>
      <c r="B15" s="246"/>
      <c r="C15" s="240">
        <v>4</v>
      </c>
      <c r="D15" s="241">
        <f>ROUNDDOWN((F15*G15),0)</f>
        <v>527</v>
      </c>
      <c r="F15" s="200">
        <v>0.8</v>
      </c>
      <c r="G15" s="201">
        <f>G14</f>
        <v>659</v>
      </c>
    </row>
    <row r="16" spans="1:7" ht="23.25" thickTop="1" x14ac:dyDescent="0.35">
      <c r="A16" s="247" t="s">
        <v>85</v>
      </c>
      <c r="B16" s="248"/>
      <c r="C16" s="249">
        <v>1</v>
      </c>
      <c r="D16" s="250">
        <f>D12+100</f>
        <v>923</v>
      </c>
    </row>
    <row r="17" spans="1:7" x14ac:dyDescent="0.35">
      <c r="A17" s="242" t="s">
        <v>83</v>
      </c>
      <c r="B17" s="243"/>
      <c r="C17" s="240">
        <v>2</v>
      </c>
      <c r="D17" s="241">
        <f>D13+100</f>
        <v>759</v>
      </c>
      <c r="F17" s="204">
        <f>F7</f>
        <v>138</v>
      </c>
    </row>
    <row r="18" spans="1:7" x14ac:dyDescent="0.35">
      <c r="A18" s="242" t="s">
        <v>84</v>
      </c>
      <c r="B18" s="243"/>
      <c r="C18" s="251">
        <v>3</v>
      </c>
      <c r="D18" s="252">
        <f>D14+100</f>
        <v>693</v>
      </c>
    </row>
    <row r="19" spans="1:7" x14ac:dyDescent="0.35">
      <c r="A19" s="242"/>
      <c r="B19" s="243"/>
      <c r="C19" s="240">
        <v>4</v>
      </c>
      <c r="D19" s="241">
        <f>D15+100</f>
        <v>627</v>
      </c>
    </row>
    <row r="20" spans="1:7" ht="23.25" thickBot="1" x14ac:dyDescent="0.4"/>
    <row r="21" spans="1:7" s="197" customFormat="1" ht="23.25" thickBot="1" x14ac:dyDescent="0.4">
      <c r="A21" s="230" t="s">
        <v>7</v>
      </c>
      <c r="B21" s="231"/>
      <c r="C21" s="232" t="s">
        <v>111</v>
      </c>
      <c r="D21" s="233" t="s">
        <v>113</v>
      </c>
      <c r="G21" s="198"/>
    </row>
    <row r="22" spans="1:7" x14ac:dyDescent="0.35">
      <c r="A22" s="234">
        <f>'Stove Oil Prices'!E4</f>
        <v>5.7</v>
      </c>
      <c r="B22" s="235" t="s">
        <v>112</v>
      </c>
      <c r="C22" s="236">
        <v>1</v>
      </c>
      <c r="D22" s="237">
        <f>ROUNDDOWN((F22*G22),0)</f>
        <v>982</v>
      </c>
      <c r="F22" s="200">
        <v>1.25</v>
      </c>
      <c r="G22" s="201">
        <f>ROUNDDOWN(A22*F27,0)</f>
        <v>786</v>
      </c>
    </row>
    <row r="23" spans="1:7" x14ac:dyDescent="0.35">
      <c r="A23" s="238"/>
      <c r="B23" s="239"/>
      <c r="C23" s="240">
        <v>2</v>
      </c>
      <c r="D23" s="241">
        <f>ROUNDDOWN((F23*G23),0)</f>
        <v>786</v>
      </c>
      <c r="F23" s="200">
        <v>1</v>
      </c>
      <c r="G23" s="201">
        <f>G22</f>
        <v>786</v>
      </c>
    </row>
    <row r="24" spans="1:7" x14ac:dyDescent="0.35">
      <c r="A24" s="242"/>
      <c r="B24" s="243"/>
      <c r="C24" s="244">
        <v>3</v>
      </c>
      <c r="D24" s="245">
        <f>ROUNDDOWN((F24*G24),0)</f>
        <v>707</v>
      </c>
      <c r="F24" s="200">
        <v>0.9</v>
      </c>
      <c r="G24" s="201">
        <f>G23</f>
        <v>786</v>
      </c>
    </row>
    <row r="25" spans="1:7" ht="23.25" thickBot="1" x14ac:dyDescent="0.4">
      <c r="A25" s="238"/>
      <c r="B25" s="246"/>
      <c r="C25" s="240">
        <v>4</v>
      </c>
      <c r="D25" s="241">
        <f>ROUNDDOWN((F25*G25),0)</f>
        <v>628</v>
      </c>
      <c r="F25" s="200">
        <v>0.8</v>
      </c>
      <c r="G25" s="201">
        <f>G24</f>
        <v>786</v>
      </c>
    </row>
    <row r="26" spans="1:7" ht="23.25" thickTop="1" x14ac:dyDescent="0.35">
      <c r="A26" s="247" t="s">
        <v>85</v>
      </c>
      <c r="B26" s="248"/>
      <c r="C26" s="249">
        <v>1</v>
      </c>
      <c r="D26" s="250">
        <f>D22+100</f>
        <v>1082</v>
      </c>
    </row>
    <row r="27" spans="1:7" x14ac:dyDescent="0.35">
      <c r="A27" s="242" t="s">
        <v>83</v>
      </c>
      <c r="B27" s="243"/>
      <c r="C27" s="240">
        <v>2</v>
      </c>
      <c r="D27" s="241">
        <f>D23+100</f>
        <v>886</v>
      </c>
      <c r="F27" s="204">
        <f>F17</f>
        <v>138</v>
      </c>
      <c r="G27" s="205"/>
    </row>
    <row r="28" spans="1:7" x14ac:dyDescent="0.35">
      <c r="A28" s="242" t="s">
        <v>84</v>
      </c>
      <c r="B28" s="243"/>
      <c r="C28" s="251">
        <v>3</v>
      </c>
      <c r="D28" s="252">
        <f>D24+100</f>
        <v>807</v>
      </c>
    </row>
    <row r="29" spans="1:7" x14ac:dyDescent="0.35">
      <c r="A29" s="242"/>
      <c r="B29" s="243"/>
      <c r="C29" s="240">
        <v>4</v>
      </c>
      <c r="D29" s="241">
        <f>D25+100</f>
        <v>728</v>
      </c>
    </row>
    <row r="30" spans="1:7" ht="23.25" thickBot="1" x14ac:dyDescent="0.4"/>
    <row r="31" spans="1:7" ht="23.25" thickBot="1" x14ac:dyDescent="0.4">
      <c r="A31" s="230" t="s">
        <v>8</v>
      </c>
      <c r="B31" s="231"/>
      <c r="C31" s="232" t="s">
        <v>111</v>
      </c>
      <c r="D31" s="233" t="s">
        <v>113</v>
      </c>
      <c r="E31" s="197"/>
      <c r="F31" s="197"/>
      <c r="G31" s="198"/>
    </row>
    <row r="32" spans="1:7" x14ac:dyDescent="0.35">
      <c r="A32" s="234">
        <f>'Stove Oil Prices'!E5</f>
        <v>5.2</v>
      </c>
      <c r="B32" s="235" t="s">
        <v>112</v>
      </c>
      <c r="C32" s="236">
        <v>1</v>
      </c>
      <c r="D32" s="237">
        <f>ROUNDDOWN((F32*G32),0)</f>
        <v>896</v>
      </c>
      <c r="F32" s="200">
        <v>1.25</v>
      </c>
      <c r="G32" s="201">
        <f>ROUNDDOWN(A32*F37,0)</f>
        <v>717</v>
      </c>
    </row>
    <row r="33" spans="1:7" x14ac:dyDescent="0.35">
      <c r="A33" s="238"/>
      <c r="B33" s="239"/>
      <c r="C33" s="240">
        <v>2</v>
      </c>
      <c r="D33" s="241">
        <f>ROUNDDOWN((F33*G33),0)</f>
        <v>717</v>
      </c>
      <c r="F33" s="200">
        <v>1</v>
      </c>
      <c r="G33" s="201">
        <f>G32</f>
        <v>717</v>
      </c>
    </row>
    <row r="34" spans="1:7" x14ac:dyDescent="0.35">
      <c r="A34" s="242"/>
      <c r="B34" s="243"/>
      <c r="C34" s="244">
        <v>3</v>
      </c>
      <c r="D34" s="245">
        <f>ROUNDDOWN((F34*G34),0)</f>
        <v>645</v>
      </c>
      <c r="F34" s="200">
        <v>0.9</v>
      </c>
      <c r="G34" s="201">
        <f>G33</f>
        <v>717</v>
      </c>
    </row>
    <row r="35" spans="1:7" ht="23.25" thickBot="1" x14ac:dyDescent="0.4">
      <c r="A35" s="238"/>
      <c r="B35" s="246"/>
      <c r="C35" s="240">
        <v>4</v>
      </c>
      <c r="D35" s="241">
        <f>ROUNDDOWN((F35*G35),0)</f>
        <v>573</v>
      </c>
      <c r="F35" s="200">
        <v>0.8</v>
      </c>
      <c r="G35" s="201">
        <f>G34</f>
        <v>717</v>
      </c>
    </row>
    <row r="36" spans="1:7" ht="23.25" thickTop="1" x14ac:dyDescent="0.35">
      <c r="A36" s="247" t="s">
        <v>85</v>
      </c>
      <c r="B36" s="248"/>
      <c r="C36" s="249">
        <v>1</v>
      </c>
      <c r="D36" s="250">
        <f>D32+100</f>
        <v>996</v>
      </c>
    </row>
    <row r="37" spans="1:7" x14ac:dyDescent="0.35">
      <c r="A37" s="242" t="s">
        <v>83</v>
      </c>
      <c r="B37" s="243"/>
      <c r="C37" s="240">
        <v>2</v>
      </c>
      <c r="D37" s="241">
        <f>D33+100</f>
        <v>817</v>
      </c>
      <c r="F37" s="204">
        <f>F27</f>
        <v>138</v>
      </c>
      <c r="G37" s="205"/>
    </row>
    <row r="38" spans="1:7" x14ac:dyDescent="0.35">
      <c r="A38" s="242" t="s">
        <v>84</v>
      </c>
      <c r="B38" s="243"/>
      <c r="C38" s="251">
        <v>3</v>
      </c>
      <c r="D38" s="252">
        <f>D34+100</f>
        <v>745</v>
      </c>
    </row>
    <row r="39" spans="1:7" x14ac:dyDescent="0.35">
      <c r="A39" s="242"/>
      <c r="B39" s="243"/>
      <c r="C39" s="240">
        <v>4</v>
      </c>
      <c r="D39" s="241">
        <f>D35+100</f>
        <v>673</v>
      </c>
    </row>
    <row r="40" spans="1:7" ht="23.25" thickBot="1" x14ac:dyDescent="0.4"/>
    <row r="41" spans="1:7" ht="23.25" thickBot="1" x14ac:dyDescent="0.4">
      <c r="A41" s="230" t="s">
        <v>9</v>
      </c>
      <c r="B41" s="231"/>
      <c r="C41" s="232" t="s">
        <v>111</v>
      </c>
      <c r="D41" s="233" t="s">
        <v>113</v>
      </c>
      <c r="E41" s="197"/>
      <c r="F41" s="197"/>
      <c r="G41" s="198"/>
    </row>
    <row r="42" spans="1:7" x14ac:dyDescent="0.35">
      <c r="A42" s="234">
        <f>'Stove Oil Prices'!E6</f>
        <v>5.45</v>
      </c>
      <c r="B42" s="235" t="s">
        <v>112</v>
      </c>
      <c r="C42" s="236">
        <v>1</v>
      </c>
      <c r="D42" s="237">
        <f>ROUNDDOWN((F42*G42),0)</f>
        <v>940</v>
      </c>
      <c r="F42" s="200">
        <v>1.25</v>
      </c>
      <c r="G42" s="201">
        <f>ROUNDDOWN(A42*F47,0)</f>
        <v>752</v>
      </c>
    </row>
    <row r="43" spans="1:7" x14ac:dyDescent="0.35">
      <c r="A43" s="238"/>
      <c r="B43" s="239"/>
      <c r="C43" s="240">
        <v>2</v>
      </c>
      <c r="D43" s="241">
        <f>ROUNDDOWN((F43*G43),0)</f>
        <v>752</v>
      </c>
      <c r="F43" s="200">
        <v>1</v>
      </c>
      <c r="G43" s="201">
        <f>G42</f>
        <v>752</v>
      </c>
    </row>
    <row r="44" spans="1:7" x14ac:dyDescent="0.35">
      <c r="A44" s="242"/>
      <c r="B44" s="243"/>
      <c r="C44" s="244">
        <v>3</v>
      </c>
      <c r="D44" s="245">
        <f>ROUNDDOWN((F44*G44),0)</f>
        <v>676</v>
      </c>
      <c r="F44" s="200">
        <v>0.9</v>
      </c>
      <c r="G44" s="201">
        <f>G43</f>
        <v>752</v>
      </c>
    </row>
    <row r="45" spans="1:7" ht="23.25" thickBot="1" x14ac:dyDescent="0.4">
      <c r="A45" s="238"/>
      <c r="B45" s="246"/>
      <c r="C45" s="240">
        <v>4</v>
      </c>
      <c r="D45" s="241">
        <f>ROUNDDOWN((F45*G45),0)</f>
        <v>601</v>
      </c>
      <c r="F45" s="200">
        <v>0.8</v>
      </c>
      <c r="G45" s="201">
        <f>G44</f>
        <v>752</v>
      </c>
    </row>
    <row r="46" spans="1:7" ht="23.25" thickTop="1" x14ac:dyDescent="0.35">
      <c r="A46" s="247" t="s">
        <v>85</v>
      </c>
      <c r="B46" s="248"/>
      <c r="C46" s="249">
        <v>1</v>
      </c>
      <c r="D46" s="250">
        <f>D42+100</f>
        <v>1040</v>
      </c>
    </row>
    <row r="47" spans="1:7" x14ac:dyDescent="0.35">
      <c r="A47" s="242" t="s">
        <v>83</v>
      </c>
      <c r="B47" s="243"/>
      <c r="C47" s="240">
        <v>2</v>
      </c>
      <c r="D47" s="241">
        <f>D43+100</f>
        <v>852</v>
      </c>
      <c r="F47" s="204">
        <f>F37</f>
        <v>138</v>
      </c>
      <c r="G47" s="205"/>
    </row>
    <row r="48" spans="1:7" x14ac:dyDescent="0.35">
      <c r="A48" s="242" t="s">
        <v>84</v>
      </c>
      <c r="B48" s="243"/>
      <c r="C48" s="251">
        <v>3</v>
      </c>
      <c r="D48" s="252">
        <f>D44+100</f>
        <v>776</v>
      </c>
    </row>
    <row r="49" spans="1:7" x14ac:dyDescent="0.35">
      <c r="A49" s="242"/>
      <c r="B49" s="243"/>
      <c r="C49" s="240">
        <v>4</v>
      </c>
      <c r="D49" s="241">
        <f>D45+100</f>
        <v>701</v>
      </c>
    </row>
    <row r="50" spans="1:7" ht="23.25" thickBot="1" x14ac:dyDescent="0.4"/>
    <row r="51" spans="1:7" ht="23.25" thickBot="1" x14ac:dyDescent="0.4">
      <c r="A51" s="230" t="s">
        <v>10</v>
      </c>
      <c r="B51" s="231"/>
      <c r="C51" s="232" t="s">
        <v>111</v>
      </c>
      <c r="D51" s="233" t="s">
        <v>113</v>
      </c>
      <c r="E51" s="197"/>
      <c r="F51" s="197"/>
      <c r="G51" s="198"/>
    </row>
    <row r="52" spans="1:7" x14ac:dyDescent="0.35">
      <c r="A52" s="234">
        <f>'Stove Oil Prices'!E7</f>
        <v>5.35</v>
      </c>
      <c r="B52" s="235" t="s">
        <v>112</v>
      </c>
      <c r="C52" s="236">
        <v>1</v>
      </c>
      <c r="D52" s="237">
        <f>ROUNDDOWN((F52*G52),0)</f>
        <v>922</v>
      </c>
      <c r="F52" s="200">
        <v>1.25</v>
      </c>
      <c r="G52" s="201">
        <f>ROUNDDOWN(A52*F57,0)</f>
        <v>738</v>
      </c>
    </row>
    <row r="53" spans="1:7" x14ac:dyDescent="0.35">
      <c r="A53" s="238"/>
      <c r="B53" s="239"/>
      <c r="C53" s="240">
        <v>2</v>
      </c>
      <c r="D53" s="241">
        <f>ROUNDDOWN((F53*G53),0)</f>
        <v>738</v>
      </c>
      <c r="F53" s="200">
        <v>1</v>
      </c>
      <c r="G53" s="201">
        <f>G52</f>
        <v>738</v>
      </c>
    </row>
    <row r="54" spans="1:7" x14ac:dyDescent="0.35">
      <c r="A54" s="242"/>
      <c r="B54" s="243"/>
      <c r="C54" s="244">
        <v>3</v>
      </c>
      <c r="D54" s="245">
        <f>ROUNDDOWN((F54*G54),0)</f>
        <v>664</v>
      </c>
      <c r="F54" s="200">
        <v>0.9</v>
      </c>
      <c r="G54" s="201">
        <f>G53</f>
        <v>738</v>
      </c>
    </row>
    <row r="55" spans="1:7" ht="23.25" thickBot="1" x14ac:dyDescent="0.4">
      <c r="A55" s="238"/>
      <c r="B55" s="246"/>
      <c r="C55" s="240">
        <v>4</v>
      </c>
      <c r="D55" s="241">
        <f>ROUNDDOWN((F55*G55),0)</f>
        <v>590</v>
      </c>
      <c r="F55" s="200">
        <v>0.8</v>
      </c>
      <c r="G55" s="201">
        <f>G54</f>
        <v>738</v>
      </c>
    </row>
    <row r="56" spans="1:7" ht="23.25" thickTop="1" x14ac:dyDescent="0.35">
      <c r="A56" s="247" t="s">
        <v>85</v>
      </c>
      <c r="B56" s="248"/>
      <c r="C56" s="249">
        <v>1</v>
      </c>
      <c r="D56" s="250">
        <f>D52+100</f>
        <v>1022</v>
      </c>
    </row>
    <row r="57" spans="1:7" x14ac:dyDescent="0.35">
      <c r="A57" s="242" t="s">
        <v>83</v>
      </c>
      <c r="B57" s="243"/>
      <c r="C57" s="240">
        <v>2</v>
      </c>
      <c r="D57" s="241">
        <f>D53+100</f>
        <v>838</v>
      </c>
      <c r="F57" s="204">
        <f>F47</f>
        <v>138</v>
      </c>
      <c r="G57" s="205"/>
    </row>
    <row r="58" spans="1:7" x14ac:dyDescent="0.35">
      <c r="A58" s="242" t="s">
        <v>84</v>
      </c>
      <c r="B58" s="243"/>
      <c r="C58" s="251">
        <v>3</v>
      </c>
      <c r="D58" s="252">
        <f>D54+100</f>
        <v>764</v>
      </c>
    </row>
    <row r="59" spans="1:7" x14ac:dyDescent="0.35">
      <c r="A59" s="242"/>
      <c r="B59" s="243"/>
      <c r="C59" s="240">
        <v>4</v>
      </c>
      <c r="D59" s="241">
        <f>D55+100</f>
        <v>690</v>
      </c>
    </row>
    <row r="60" spans="1:7" ht="23.25" thickBot="1" x14ac:dyDescent="0.4"/>
    <row r="61" spans="1:7" ht="23.25" thickBot="1" x14ac:dyDescent="0.4">
      <c r="A61" s="230" t="s">
        <v>11</v>
      </c>
      <c r="B61" s="231"/>
      <c r="C61" s="232" t="s">
        <v>111</v>
      </c>
      <c r="D61" s="233" t="s">
        <v>113</v>
      </c>
      <c r="E61" s="197"/>
      <c r="F61" s="197"/>
      <c r="G61" s="198"/>
    </row>
    <row r="62" spans="1:7" x14ac:dyDescent="0.35">
      <c r="A62" s="234">
        <f>'Stove Oil Prices'!E8</f>
        <v>5.9</v>
      </c>
      <c r="B62" s="235" t="s">
        <v>112</v>
      </c>
      <c r="C62" s="236">
        <v>1</v>
      </c>
      <c r="D62" s="237">
        <f>ROUNDDOWN((F62*G62),0)</f>
        <v>1017</v>
      </c>
      <c r="F62" s="200">
        <v>1.25</v>
      </c>
      <c r="G62" s="201">
        <f>ROUNDDOWN(A62*F67,0)</f>
        <v>814</v>
      </c>
    </row>
    <row r="63" spans="1:7" x14ac:dyDescent="0.35">
      <c r="A63" s="238"/>
      <c r="B63" s="239"/>
      <c r="C63" s="240">
        <v>2</v>
      </c>
      <c r="D63" s="241">
        <f>ROUNDDOWN((F63*G63),0)</f>
        <v>814</v>
      </c>
      <c r="F63" s="200">
        <v>1</v>
      </c>
      <c r="G63" s="201">
        <f>G62</f>
        <v>814</v>
      </c>
    </row>
    <row r="64" spans="1:7" x14ac:dyDescent="0.35">
      <c r="A64" s="242"/>
      <c r="B64" s="243"/>
      <c r="C64" s="244">
        <v>3</v>
      </c>
      <c r="D64" s="245">
        <f>ROUNDDOWN((F64*G64),0)</f>
        <v>732</v>
      </c>
      <c r="F64" s="200">
        <v>0.9</v>
      </c>
      <c r="G64" s="201">
        <f>G63</f>
        <v>814</v>
      </c>
    </row>
    <row r="65" spans="1:7" ht="23.25" thickBot="1" x14ac:dyDescent="0.4">
      <c r="A65" s="238"/>
      <c r="B65" s="246"/>
      <c r="C65" s="240">
        <v>4</v>
      </c>
      <c r="D65" s="241">
        <f>ROUNDDOWN((F65*G65),0)</f>
        <v>651</v>
      </c>
      <c r="F65" s="200">
        <v>0.8</v>
      </c>
      <c r="G65" s="201">
        <f>G64</f>
        <v>814</v>
      </c>
    </row>
    <row r="66" spans="1:7" ht="23.25" thickTop="1" x14ac:dyDescent="0.35">
      <c r="A66" s="247" t="s">
        <v>85</v>
      </c>
      <c r="B66" s="248"/>
      <c r="C66" s="249">
        <v>1</v>
      </c>
      <c r="D66" s="250">
        <f>D62+100</f>
        <v>1117</v>
      </c>
    </row>
    <row r="67" spans="1:7" x14ac:dyDescent="0.35">
      <c r="A67" s="242" t="s">
        <v>83</v>
      </c>
      <c r="B67" s="243"/>
      <c r="C67" s="240">
        <v>2</v>
      </c>
      <c r="D67" s="241">
        <f>D63+100</f>
        <v>914</v>
      </c>
      <c r="F67" s="204">
        <f>F57</f>
        <v>138</v>
      </c>
      <c r="G67" s="205"/>
    </row>
    <row r="68" spans="1:7" x14ac:dyDescent="0.35">
      <c r="A68" s="242" t="s">
        <v>84</v>
      </c>
      <c r="B68" s="243"/>
      <c r="C68" s="251">
        <v>3</v>
      </c>
      <c r="D68" s="252">
        <f>D64+100</f>
        <v>832</v>
      </c>
    </row>
    <row r="69" spans="1:7" x14ac:dyDescent="0.35">
      <c r="A69" s="242"/>
      <c r="B69" s="243"/>
      <c r="C69" s="240">
        <v>4</v>
      </c>
      <c r="D69" s="241">
        <f>D65+100</f>
        <v>751</v>
      </c>
    </row>
    <row r="70" spans="1:7" ht="23.25" thickBot="1" x14ac:dyDescent="0.4"/>
    <row r="71" spans="1:7" ht="23.25" thickBot="1" x14ac:dyDescent="0.4">
      <c r="A71" s="230" t="s">
        <v>12</v>
      </c>
      <c r="B71" s="231"/>
      <c r="C71" s="232" t="s">
        <v>111</v>
      </c>
      <c r="D71" s="233" t="s">
        <v>113</v>
      </c>
      <c r="E71" s="197"/>
      <c r="F71" s="197"/>
      <c r="G71" s="198"/>
    </row>
    <row r="72" spans="1:7" x14ac:dyDescent="0.35">
      <c r="A72" s="234">
        <v>6.11</v>
      </c>
      <c r="B72" s="235" t="s">
        <v>112</v>
      </c>
      <c r="C72" s="236">
        <v>1</v>
      </c>
      <c r="D72" s="237">
        <f>ROUNDDOWN((F72*G72),0)</f>
        <v>1053</v>
      </c>
      <c r="F72" s="200">
        <v>1.25</v>
      </c>
      <c r="G72" s="201">
        <f>ROUNDDOWN(A72*F77,0)</f>
        <v>843</v>
      </c>
    </row>
    <row r="73" spans="1:7" x14ac:dyDescent="0.35">
      <c r="A73" s="238"/>
      <c r="B73" s="239"/>
      <c r="C73" s="240">
        <v>2</v>
      </c>
      <c r="D73" s="241">
        <f>ROUNDDOWN((F73*G73),0)</f>
        <v>843</v>
      </c>
      <c r="F73" s="200">
        <v>1</v>
      </c>
      <c r="G73" s="201">
        <f>G72</f>
        <v>843</v>
      </c>
    </row>
    <row r="74" spans="1:7" x14ac:dyDescent="0.35">
      <c r="A74" s="242"/>
      <c r="B74" s="243"/>
      <c r="C74" s="244">
        <v>3</v>
      </c>
      <c r="D74" s="245">
        <f>ROUNDDOWN((F74*G74),0)</f>
        <v>758</v>
      </c>
      <c r="F74" s="200">
        <v>0.9</v>
      </c>
      <c r="G74" s="201">
        <f>G73</f>
        <v>843</v>
      </c>
    </row>
    <row r="75" spans="1:7" ht="23.25" thickBot="1" x14ac:dyDescent="0.4">
      <c r="A75" s="238"/>
      <c r="B75" s="246"/>
      <c r="C75" s="240">
        <v>4</v>
      </c>
      <c r="D75" s="241">
        <f>ROUNDDOWN((F75*G75),0)</f>
        <v>674</v>
      </c>
      <c r="F75" s="200">
        <v>0.8</v>
      </c>
      <c r="G75" s="201">
        <f>G74</f>
        <v>843</v>
      </c>
    </row>
    <row r="76" spans="1:7" ht="23.25" thickTop="1" x14ac:dyDescent="0.35">
      <c r="A76" s="247" t="s">
        <v>85</v>
      </c>
      <c r="B76" s="248"/>
      <c r="C76" s="249">
        <v>1</v>
      </c>
      <c r="D76" s="250">
        <f>D72+100</f>
        <v>1153</v>
      </c>
    </row>
    <row r="77" spans="1:7" x14ac:dyDescent="0.35">
      <c r="A77" s="242" t="s">
        <v>83</v>
      </c>
      <c r="B77" s="243"/>
      <c r="C77" s="240">
        <v>2</v>
      </c>
      <c r="D77" s="241">
        <f>D73+100</f>
        <v>943</v>
      </c>
      <c r="F77" s="204">
        <f>F67</f>
        <v>138</v>
      </c>
      <c r="G77" s="205"/>
    </row>
    <row r="78" spans="1:7" x14ac:dyDescent="0.35">
      <c r="A78" s="242" t="s">
        <v>84</v>
      </c>
      <c r="B78" s="243"/>
      <c r="C78" s="251">
        <v>3</v>
      </c>
      <c r="D78" s="252">
        <f>D74+100</f>
        <v>858</v>
      </c>
    </row>
    <row r="79" spans="1:7" x14ac:dyDescent="0.35">
      <c r="A79" s="242"/>
      <c r="B79" s="243"/>
      <c r="C79" s="240">
        <v>4</v>
      </c>
      <c r="D79" s="241">
        <f>D75+100</f>
        <v>774</v>
      </c>
    </row>
    <row r="80" spans="1:7" ht="23.25" thickBot="1" x14ac:dyDescent="0.4"/>
    <row r="81" spans="1:7" ht="23.25" thickBot="1" x14ac:dyDescent="0.4">
      <c r="A81" s="230" t="s">
        <v>13</v>
      </c>
      <c r="B81" s="231"/>
      <c r="C81" s="232" t="s">
        <v>111</v>
      </c>
      <c r="D81" s="233" t="s">
        <v>113</v>
      </c>
      <c r="E81" s="197"/>
      <c r="F81" s="197"/>
      <c r="G81" s="198"/>
    </row>
    <row r="82" spans="1:7" x14ac:dyDescent="0.35">
      <c r="A82" s="234">
        <f>'Stove Oil Prices'!E10</f>
        <v>4</v>
      </c>
      <c r="B82" s="235" t="s">
        <v>112</v>
      </c>
      <c r="C82" s="236">
        <v>1</v>
      </c>
      <c r="D82" s="237">
        <f>ROUNDDOWN((F82*G82),0)</f>
        <v>690</v>
      </c>
      <c r="F82" s="200">
        <v>1.25</v>
      </c>
      <c r="G82" s="201">
        <f>ROUNDDOWN(A82*F87,0)</f>
        <v>552</v>
      </c>
    </row>
    <row r="83" spans="1:7" x14ac:dyDescent="0.35">
      <c r="A83" s="238"/>
      <c r="B83" s="239"/>
      <c r="C83" s="240">
        <v>2</v>
      </c>
      <c r="D83" s="241">
        <f>ROUNDDOWN((F83*G83),0)</f>
        <v>552</v>
      </c>
      <c r="F83" s="200">
        <v>1</v>
      </c>
      <c r="G83" s="201">
        <f>G82</f>
        <v>552</v>
      </c>
    </row>
    <row r="84" spans="1:7" x14ac:dyDescent="0.35">
      <c r="A84" s="242"/>
      <c r="B84" s="243"/>
      <c r="C84" s="244">
        <v>3</v>
      </c>
      <c r="D84" s="245">
        <f>ROUNDDOWN((F84*G84),0)</f>
        <v>496</v>
      </c>
      <c r="F84" s="200">
        <v>0.9</v>
      </c>
      <c r="G84" s="201">
        <f>G83</f>
        <v>552</v>
      </c>
    </row>
    <row r="85" spans="1:7" ht="23.25" thickBot="1" x14ac:dyDescent="0.4">
      <c r="A85" s="238"/>
      <c r="B85" s="246"/>
      <c r="C85" s="240">
        <v>4</v>
      </c>
      <c r="D85" s="241">
        <f>ROUNDDOWN((F85*G85),0)</f>
        <v>441</v>
      </c>
      <c r="F85" s="200">
        <v>0.8</v>
      </c>
      <c r="G85" s="201">
        <f>G84</f>
        <v>552</v>
      </c>
    </row>
    <row r="86" spans="1:7" ht="23.25" thickTop="1" x14ac:dyDescent="0.35">
      <c r="A86" s="247" t="s">
        <v>85</v>
      </c>
      <c r="B86" s="248"/>
      <c r="C86" s="249">
        <v>1</v>
      </c>
      <c r="D86" s="250">
        <f>D82+100</f>
        <v>790</v>
      </c>
    </row>
    <row r="87" spans="1:7" x14ac:dyDescent="0.35">
      <c r="A87" s="242" t="s">
        <v>83</v>
      </c>
      <c r="B87" s="243"/>
      <c r="C87" s="240">
        <v>2</v>
      </c>
      <c r="D87" s="241">
        <f>D83+100</f>
        <v>652</v>
      </c>
      <c r="F87" s="204">
        <f>F77</f>
        <v>138</v>
      </c>
      <c r="G87" s="205"/>
    </row>
    <row r="88" spans="1:7" x14ac:dyDescent="0.35">
      <c r="A88" s="242" t="s">
        <v>84</v>
      </c>
      <c r="B88" s="243"/>
      <c r="C88" s="251">
        <v>3</v>
      </c>
      <c r="D88" s="252">
        <f>D84+100</f>
        <v>596</v>
      </c>
    </row>
    <row r="89" spans="1:7" x14ac:dyDescent="0.35">
      <c r="A89" s="242"/>
      <c r="B89" s="243"/>
      <c r="C89" s="240">
        <v>4</v>
      </c>
      <c r="D89" s="241">
        <f>D85+100</f>
        <v>541</v>
      </c>
    </row>
    <row r="90" spans="1:7" ht="23.25" thickBot="1" x14ac:dyDescent="0.4"/>
    <row r="91" spans="1:7" ht="23.25" thickBot="1" x14ac:dyDescent="0.4">
      <c r="A91" s="230" t="s">
        <v>14</v>
      </c>
      <c r="B91" s="231"/>
      <c r="C91" s="232" t="s">
        <v>111</v>
      </c>
      <c r="D91" s="233" t="s">
        <v>113</v>
      </c>
      <c r="E91" s="197"/>
      <c r="F91" s="197"/>
      <c r="G91" s="198"/>
    </row>
    <row r="92" spans="1:7" x14ac:dyDescent="0.35">
      <c r="A92" s="234">
        <f>'Stove Oil Prices'!E11</f>
        <v>5.4390000000000001</v>
      </c>
      <c r="B92" s="235" t="s">
        <v>112</v>
      </c>
      <c r="C92" s="236">
        <v>1</v>
      </c>
      <c r="D92" s="237">
        <f>ROUNDDOWN((F92*G92),0)</f>
        <v>937</v>
      </c>
      <c r="F92" s="200">
        <v>1.25</v>
      </c>
      <c r="G92" s="201">
        <f>ROUNDDOWN(A92*F97,0)</f>
        <v>750</v>
      </c>
    </row>
    <row r="93" spans="1:7" x14ac:dyDescent="0.35">
      <c r="A93" s="238"/>
      <c r="B93" s="239"/>
      <c r="C93" s="240">
        <v>2</v>
      </c>
      <c r="D93" s="241">
        <f>ROUNDDOWN((F93*G93),0)</f>
        <v>750</v>
      </c>
      <c r="F93" s="200">
        <v>1</v>
      </c>
      <c r="G93" s="201">
        <f>G92</f>
        <v>750</v>
      </c>
    </row>
    <row r="94" spans="1:7" x14ac:dyDescent="0.35">
      <c r="A94" s="242"/>
      <c r="B94" s="243"/>
      <c r="C94" s="244">
        <v>3</v>
      </c>
      <c r="D94" s="245">
        <f>ROUNDDOWN((F94*G94),0)</f>
        <v>675</v>
      </c>
      <c r="F94" s="200">
        <v>0.9</v>
      </c>
      <c r="G94" s="201">
        <f>G93</f>
        <v>750</v>
      </c>
    </row>
    <row r="95" spans="1:7" ht="23.25" thickBot="1" x14ac:dyDescent="0.4">
      <c r="A95" s="238"/>
      <c r="B95" s="246"/>
      <c r="C95" s="240">
        <v>4</v>
      </c>
      <c r="D95" s="241">
        <f>ROUNDDOWN((F95*G95),0)</f>
        <v>600</v>
      </c>
      <c r="F95" s="200">
        <v>0.8</v>
      </c>
      <c r="G95" s="201">
        <f>G94</f>
        <v>750</v>
      </c>
    </row>
    <row r="96" spans="1:7" ht="23.25" thickTop="1" x14ac:dyDescent="0.35">
      <c r="A96" s="247" t="s">
        <v>85</v>
      </c>
      <c r="B96" s="248"/>
      <c r="C96" s="249">
        <v>1</v>
      </c>
      <c r="D96" s="250">
        <f>D92+100</f>
        <v>1037</v>
      </c>
    </row>
    <row r="97" spans="1:7" x14ac:dyDescent="0.35">
      <c r="A97" s="242" t="s">
        <v>83</v>
      </c>
      <c r="B97" s="243"/>
      <c r="C97" s="240">
        <v>2</v>
      </c>
      <c r="D97" s="241">
        <f>D93+100</f>
        <v>850</v>
      </c>
      <c r="F97" s="204">
        <f>F87</f>
        <v>138</v>
      </c>
      <c r="G97" s="205"/>
    </row>
    <row r="98" spans="1:7" x14ac:dyDescent="0.35">
      <c r="A98" s="242" t="s">
        <v>84</v>
      </c>
      <c r="B98" s="243"/>
      <c r="C98" s="251">
        <v>3</v>
      </c>
      <c r="D98" s="252">
        <f>D94+100</f>
        <v>775</v>
      </c>
    </row>
    <row r="99" spans="1:7" x14ac:dyDescent="0.35">
      <c r="A99" s="242"/>
      <c r="B99" s="243"/>
      <c r="C99" s="240">
        <v>4</v>
      </c>
      <c r="D99" s="241">
        <f>D95+100</f>
        <v>700</v>
      </c>
    </row>
    <row r="100" spans="1:7" ht="23.25" thickBot="1" x14ac:dyDescent="0.4"/>
    <row r="101" spans="1:7" ht="23.25" thickBot="1" x14ac:dyDescent="0.4">
      <c r="A101" s="230" t="s">
        <v>15</v>
      </c>
      <c r="B101" s="231"/>
      <c r="C101" s="232" t="s">
        <v>111</v>
      </c>
      <c r="D101" s="233" t="s">
        <v>113</v>
      </c>
      <c r="E101" s="197"/>
      <c r="F101" s="197"/>
      <c r="G101" s="198"/>
    </row>
    <row r="102" spans="1:7" x14ac:dyDescent="0.35">
      <c r="A102" s="234">
        <f>'Stove Oil Prices'!E12</f>
        <v>5.13</v>
      </c>
      <c r="B102" s="235" t="s">
        <v>112</v>
      </c>
      <c r="C102" s="236">
        <v>1</v>
      </c>
      <c r="D102" s="237">
        <f>ROUNDDOWN((F102*G102),0)</f>
        <v>883</v>
      </c>
      <c r="F102" s="200">
        <v>1.25</v>
      </c>
      <c r="G102" s="201">
        <f>ROUNDDOWN(A102*F107,0)</f>
        <v>707</v>
      </c>
    </row>
    <row r="103" spans="1:7" x14ac:dyDescent="0.35">
      <c r="A103" s="238"/>
      <c r="B103" s="239"/>
      <c r="C103" s="240">
        <v>2</v>
      </c>
      <c r="D103" s="241">
        <f>ROUNDDOWN((F103*G103),0)</f>
        <v>707</v>
      </c>
      <c r="F103" s="200">
        <v>1</v>
      </c>
      <c r="G103" s="201">
        <f>G102</f>
        <v>707</v>
      </c>
    </row>
    <row r="104" spans="1:7" x14ac:dyDescent="0.35">
      <c r="A104" s="242"/>
      <c r="B104" s="243"/>
      <c r="C104" s="244">
        <v>3</v>
      </c>
      <c r="D104" s="245">
        <f>ROUNDDOWN((F104*G104),0)</f>
        <v>636</v>
      </c>
      <c r="F104" s="200">
        <v>0.9</v>
      </c>
      <c r="G104" s="201">
        <f>G103</f>
        <v>707</v>
      </c>
    </row>
    <row r="105" spans="1:7" ht="23.25" thickBot="1" x14ac:dyDescent="0.4">
      <c r="A105" s="238"/>
      <c r="B105" s="246"/>
      <c r="C105" s="240">
        <v>4</v>
      </c>
      <c r="D105" s="241">
        <f>ROUNDDOWN((F105*G105),0)</f>
        <v>565</v>
      </c>
      <c r="F105" s="200">
        <v>0.8</v>
      </c>
      <c r="G105" s="201">
        <f>G104</f>
        <v>707</v>
      </c>
    </row>
    <row r="106" spans="1:7" ht="23.25" thickTop="1" x14ac:dyDescent="0.35">
      <c r="A106" s="247" t="s">
        <v>85</v>
      </c>
      <c r="B106" s="248"/>
      <c r="C106" s="249">
        <v>1</v>
      </c>
      <c r="D106" s="250">
        <f>D102+100</f>
        <v>983</v>
      </c>
    </row>
    <row r="107" spans="1:7" x14ac:dyDescent="0.35">
      <c r="A107" s="242" t="s">
        <v>83</v>
      </c>
      <c r="B107" s="243"/>
      <c r="C107" s="240">
        <v>2</v>
      </c>
      <c r="D107" s="241">
        <f>D103+100</f>
        <v>807</v>
      </c>
      <c r="F107" s="204">
        <f>F417</f>
        <v>138</v>
      </c>
      <c r="G107" s="205"/>
    </row>
    <row r="108" spans="1:7" x14ac:dyDescent="0.35">
      <c r="A108" s="242" t="s">
        <v>84</v>
      </c>
      <c r="B108" s="243"/>
      <c r="C108" s="251">
        <v>3</v>
      </c>
      <c r="D108" s="252">
        <f>D104+100</f>
        <v>736</v>
      </c>
    </row>
    <row r="109" spans="1:7" x14ac:dyDescent="0.35">
      <c r="A109" s="242"/>
      <c r="B109" s="243"/>
      <c r="C109" s="240">
        <v>4</v>
      </c>
      <c r="D109" s="241">
        <f>D105+100</f>
        <v>665</v>
      </c>
    </row>
    <row r="110" spans="1:7" ht="23.25" thickBot="1" x14ac:dyDescent="0.4"/>
    <row r="111" spans="1:7" ht="23.25" thickBot="1" x14ac:dyDescent="0.4">
      <c r="A111" s="230" t="s">
        <v>16</v>
      </c>
      <c r="B111" s="231"/>
      <c r="C111" s="232" t="s">
        <v>111</v>
      </c>
      <c r="D111" s="233" t="s">
        <v>113</v>
      </c>
      <c r="E111" s="197"/>
      <c r="F111" s="197"/>
      <c r="G111" s="198"/>
    </row>
    <row r="112" spans="1:7" x14ac:dyDescent="0.35">
      <c r="A112" s="234">
        <f>'Stove Oil Prices'!E13</f>
        <v>5.3</v>
      </c>
      <c r="B112" s="235" t="s">
        <v>112</v>
      </c>
      <c r="C112" s="236">
        <v>1</v>
      </c>
      <c r="D112" s="237">
        <f>ROUNDDOWN((F112*G112),0)</f>
        <v>913</v>
      </c>
      <c r="F112" s="200">
        <v>1.25</v>
      </c>
      <c r="G112" s="201">
        <f>ROUNDDOWN(A112*F117,0)</f>
        <v>731</v>
      </c>
    </row>
    <row r="113" spans="1:7" x14ac:dyDescent="0.35">
      <c r="A113" s="238"/>
      <c r="B113" s="239"/>
      <c r="C113" s="240">
        <v>2</v>
      </c>
      <c r="D113" s="241">
        <f>ROUNDDOWN((F113*G113),0)</f>
        <v>731</v>
      </c>
      <c r="F113" s="200">
        <v>1</v>
      </c>
      <c r="G113" s="201">
        <f>G112</f>
        <v>731</v>
      </c>
    </row>
    <row r="114" spans="1:7" x14ac:dyDescent="0.35">
      <c r="A114" s="242"/>
      <c r="B114" s="243"/>
      <c r="C114" s="244">
        <v>3</v>
      </c>
      <c r="D114" s="245">
        <f>ROUNDDOWN((F114*G114),0)</f>
        <v>657</v>
      </c>
      <c r="F114" s="200">
        <v>0.9</v>
      </c>
      <c r="G114" s="201">
        <f>G113</f>
        <v>731</v>
      </c>
    </row>
    <row r="115" spans="1:7" ht="23.25" thickBot="1" x14ac:dyDescent="0.4">
      <c r="A115" s="238"/>
      <c r="B115" s="246"/>
      <c r="C115" s="240">
        <v>4</v>
      </c>
      <c r="D115" s="241">
        <f>ROUNDDOWN((F115*G115),0)</f>
        <v>584</v>
      </c>
      <c r="F115" s="200">
        <v>0.8</v>
      </c>
      <c r="G115" s="201">
        <f>G114</f>
        <v>731</v>
      </c>
    </row>
    <row r="116" spans="1:7" ht="23.25" thickTop="1" x14ac:dyDescent="0.35">
      <c r="A116" s="247" t="s">
        <v>85</v>
      </c>
      <c r="B116" s="248"/>
      <c r="C116" s="249">
        <v>1</v>
      </c>
      <c r="D116" s="250">
        <f>D112+100</f>
        <v>1013</v>
      </c>
    </row>
    <row r="117" spans="1:7" x14ac:dyDescent="0.35">
      <c r="A117" s="242" t="s">
        <v>83</v>
      </c>
      <c r="B117" s="243"/>
      <c r="C117" s="240">
        <v>2</v>
      </c>
      <c r="D117" s="241">
        <f>D113+100</f>
        <v>831</v>
      </c>
      <c r="F117" s="204">
        <f>F107</f>
        <v>138</v>
      </c>
      <c r="G117" s="205"/>
    </row>
    <row r="118" spans="1:7" x14ac:dyDescent="0.35">
      <c r="A118" s="242" t="s">
        <v>84</v>
      </c>
      <c r="B118" s="243"/>
      <c r="C118" s="251">
        <v>3</v>
      </c>
      <c r="D118" s="252">
        <f>D114+100</f>
        <v>757</v>
      </c>
    </row>
    <row r="119" spans="1:7" x14ac:dyDescent="0.35">
      <c r="A119" s="242"/>
      <c r="B119" s="243"/>
      <c r="C119" s="240">
        <v>4</v>
      </c>
      <c r="D119" s="241">
        <f>D115+100</f>
        <v>684</v>
      </c>
    </row>
    <row r="120" spans="1:7" ht="23.25" thickBot="1" x14ac:dyDescent="0.4"/>
    <row r="121" spans="1:7" ht="23.25" thickBot="1" x14ac:dyDescent="0.4">
      <c r="A121" s="230" t="s">
        <v>17</v>
      </c>
      <c r="B121" s="231"/>
      <c r="C121" s="232" t="s">
        <v>111</v>
      </c>
      <c r="D121" s="233" t="s">
        <v>113</v>
      </c>
      <c r="E121" s="197"/>
      <c r="F121" s="197"/>
      <c r="G121" s="198"/>
    </row>
    <row r="122" spans="1:7" x14ac:dyDescent="0.35">
      <c r="A122" s="234">
        <f>'Stove Oil Prices'!E14</f>
        <v>5.07</v>
      </c>
      <c r="B122" s="235" t="s">
        <v>112</v>
      </c>
      <c r="C122" s="236">
        <v>1</v>
      </c>
      <c r="D122" s="237">
        <f>ROUNDDOWN((F122*G122),0)</f>
        <v>873</v>
      </c>
      <c r="F122" s="200">
        <v>1.25</v>
      </c>
      <c r="G122" s="201">
        <f>ROUNDDOWN(A122*F127,0)</f>
        <v>699</v>
      </c>
    </row>
    <row r="123" spans="1:7" x14ac:dyDescent="0.35">
      <c r="A123" s="238"/>
      <c r="B123" s="239"/>
      <c r="C123" s="240">
        <v>2</v>
      </c>
      <c r="D123" s="241">
        <f>ROUNDDOWN((F123*G123),0)</f>
        <v>699</v>
      </c>
      <c r="F123" s="200">
        <v>1</v>
      </c>
      <c r="G123" s="201">
        <f>G122</f>
        <v>699</v>
      </c>
    </row>
    <row r="124" spans="1:7" x14ac:dyDescent="0.35">
      <c r="A124" s="242"/>
      <c r="B124" s="243"/>
      <c r="C124" s="244">
        <v>3</v>
      </c>
      <c r="D124" s="245">
        <f>ROUNDDOWN((F124*G124),0)</f>
        <v>629</v>
      </c>
      <c r="F124" s="200">
        <v>0.9</v>
      </c>
      <c r="G124" s="201">
        <f>G123</f>
        <v>699</v>
      </c>
    </row>
    <row r="125" spans="1:7" ht="23.25" thickBot="1" x14ac:dyDescent="0.4">
      <c r="A125" s="238"/>
      <c r="B125" s="246"/>
      <c r="C125" s="240">
        <v>4</v>
      </c>
      <c r="D125" s="241">
        <f>ROUNDDOWN((F125*G125),0)</f>
        <v>559</v>
      </c>
      <c r="F125" s="200">
        <v>0.8</v>
      </c>
      <c r="G125" s="201">
        <f>G124</f>
        <v>699</v>
      </c>
    </row>
    <row r="126" spans="1:7" ht="23.25" thickTop="1" x14ac:dyDescent="0.35">
      <c r="A126" s="247" t="s">
        <v>85</v>
      </c>
      <c r="B126" s="248"/>
      <c r="C126" s="249">
        <v>1</v>
      </c>
      <c r="D126" s="250">
        <f>D122+100</f>
        <v>973</v>
      </c>
    </row>
    <row r="127" spans="1:7" x14ac:dyDescent="0.35">
      <c r="A127" s="242" t="s">
        <v>83</v>
      </c>
      <c r="B127" s="243"/>
      <c r="C127" s="240">
        <v>2</v>
      </c>
      <c r="D127" s="241">
        <f>D123+100</f>
        <v>799</v>
      </c>
      <c r="F127" s="204">
        <f>F117</f>
        <v>138</v>
      </c>
      <c r="G127" s="205"/>
    </row>
    <row r="128" spans="1:7" x14ac:dyDescent="0.35">
      <c r="A128" s="242" t="s">
        <v>84</v>
      </c>
      <c r="B128" s="243"/>
      <c r="C128" s="251">
        <v>3</v>
      </c>
      <c r="D128" s="252">
        <f>D124+100</f>
        <v>729</v>
      </c>
    </row>
    <row r="129" spans="1:7" x14ac:dyDescent="0.35">
      <c r="A129" s="242"/>
      <c r="B129" s="243"/>
      <c r="C129" s="240">
        <v>4</v>
      </c>
      <c r="D129" s="241">
        <f>D125+100</f>
        <v>659</v>
      </c>
    </row>
    <row r="130" spans="1:7" ht="23.25" thickBot="1" x14ac:dyDescent="0.4"/>
    <row r="131" spans="1:7" ht="23.25" thickBot="1" x14ac:dyDescent="0.4">
      <c r="A131" s="230" t="s">
        <v>18</v>
      </c>
      <c r="B131" s="231"/>
      <c r="C131" s="232" t="s">
        <v>111</v>
      </c>
      <c r="D131" s="233" t="s">
        <v>113</v>
      </c>
      <c r="E131" s="197"/>
      <c r="F131" s="197"/>
      <c r="G131" s="198"/>
    </row>
    <row r="132" spans="1:7" x14ac:dyDescent="0.35">
      <c r="A132" s="234">
        <f>'Stove Oil Prices'!E15</f>
        <v>5.85</v>
      </c>
      <c r="B132" s="235" t="s">
        <v>112</v>
      </c>
      <c r="C132" s="236">
        <v>1</v>
      </c>
      <c r="D132" s="237">
        <f>ROUNDDOWN((F132*G132),0)</f>
        <v>1008</v>
      </c>
      <c r="F132" s="200">
        <v>1.25</v>
      </c>
      <c r="G132" s="201">
        <f>ROUNDDOWN(A132*F137,0)</f>
        <v>807</v>
      </c>
    </row>
    <row r="133" spans="1:7" x14ac:dyDescent="0.35">
      <c r="A133" s="238"/>
      <c r="B133" s="239"/>
      <c r="C133" s="240">
        <v>2</v>
      </c>
      <c r="D133" s="241">
        <f>ROUNDDOWN((F133*G133),0)</f>
        <v>807</v>
      </c>
      <c r="F133" s="200">
        <v>1</v>
      </c>
      <c r="G133" s="201">
        <f>G132</f>
        <v>807</v>
      </c>
    </row>
    <row r="134" spans="1:7" x14ac:dyDescent="0.35">
      <c r="A134" s="242"/>
      <c r="B134" s="243"/>
      <c r="C134" s="244">
        <v>3</v>
      </c>
      <c r="D134" s="245">
        <f>ROUNDDOWN((F134*G134),0)</f>
        <v>726</v>
      </c>
      <c r="F134" s="200">
        <v>0.9</v>
      </c>
      <c r="G134" s="201">
        <f>G133</f>
        <v>807</v>
      </c>
    </row>
    <row r="135" spans="1:7" ht="23.25" thickBot="1" x14ac:dyDescent="0.4">
      <c r="A135" s="238"/>
      <c r="B135" s="246"/>
      <c r="C135" s="240">
        <v>4</v>
      </c>
      <c r="D135" s="241">
        <f>ROUNDDOWN((F135*G135),0)</f>
        <v>645</v>
      </c>
      <c r="F135" s="200">
        <v>0.8</v>
      </c>
      <c r="G135" s="201">
        <f>G134</f>
        <v>807</v>
      </c>
    </row>
    <row r="136" spans="1:7" ht="23.25" thickTop="1" x14ac:dyDescent="0.35">
      <c r="A136" s="247" t="s">
        <v>85</v>
      </c>
      <c r="B136" s="248"/>
      <c r="C136" s="249">
        <v>1</v>
      </c>
      <c r="D136" s="250">
        <f>D132+100</f>
        <v>1108</v>
      </c>
    </row>
    <row r="137" spans="1:7" x14ac:dyDescent="0.35">
      <c r="A137" s="242" t="s">
        <v>83</v>
      </c>
      <c r="B137" s="243"/>
      <c r="C137" s="240">
        <v>2</v>
      </c>
      <c r="D137" s="241">
        <f>D133+100</f>
        <v>907</v>
      </c>
      <c r="F137" s="204">
        <f>F127</f>
        <v>138</v>
      </c>
      <c r="G137" s="205"/>
    </row>
    <row r="138" spans="1:7" x14ac:dyDescent="0.35">
      <c r="A138" s="242" t="s">
        <v>84</v>
      </c>
      <c r="B138" s="243"/>
      <c r="C138" s="251">
        <v>3</v>
      </c>
      <c r="D138" s="252">
        <f>D134+100</f>
        <v>826</v>
      </c>
    </row>
    <row r="139" spans="1:7" x14ac:dyDescent="0.35">
      <c r="A139" s="242"/>
      <c r="B139" s="243"/>
      <c r="C139" s="240">
        <v>4</v>
      </c>
      <c r="D139" s="241">
        <f>D135+100</f>
        <v>745</v>
      </c>
    </row>
    <row r="140" spans="1:7" ht="23.25" thickBot="1" x14ac:dyDescent="0.4"/>
    <row r="141" spans="1:7" ht="23.25" thickBot="1" x14ac:dyDescent="0.4">
      <c r="A141" s="230" t="s">
        <v>19</v>
      </c>
      <c r="B141" s="231"/>
      <c r="C141" s="232" t="s">
        <v>111</v>
      </c>
      <c r="D141" s="233" t="s">
        <v>113</v>
      </c>
      <c r="E141" s="197"/>
      <c r="F141" s="197"/>
      <c r="G141" s="198"/>
    </row>
    <row r="142" spans="1:7" x14ac:dyDescent="0.35">
      <c r="A142" s="234">
        <f>'Stove Oil Prices'!E16</f>
        <v>5.56</v>
      </c>
      <c r="B142" s="235" t="s">
        <v>112</v>
      </c>
      <c r="C142" s="236">
        <v>1</v>
      </c>
      <c r="D142" s="237">
        <f>ROUNDDOWN((F142*G142),0)</f>
        <v>958</v>
      </c>
      <c r="F142" s="200">
        <v>1.25</v>
      </c>
      <c r="G142" s="201">
        <f>ROUNDDOWN(A142*F147,0)</f>
        <v>767</v>
      </c>
    </row>
    <row r="143" spans="1:7" x14ac:dyDescent="0.35">
      <c r="A143" s="238"/>
      <c r="B143" s="239"/>
      <c r="C143" s="240">
        <v>2</v>
      </c>
      <c r="D143" s="241">
        <f>ROUNDDOWN((F143*G143),0)</f>
        <v>767</v>
      </c>
      <c r="F143" s="200">
        <v>1</v>
      </c>
      <c r="G143" s="201">
        <f>G142</f>
        <v>767</v>
      </c>
    </row>
    <row r="144" spans="1:7" x14ac:dyDescent="0.35">
      <c r="A144" s="242"/>
      <c r="B144" s="243"/>
      <c r="C144" s="244">
        <v>3</v>
      </c>
      <c r="D144" s="245">
        <f>ROUNDDOWN((F144*G144),0)</f>
        <v>690</v>
      </c>
      <c r="F144" s="200">
        <v>0.9</v>
      </c>
      <c r="G144" s="201">
        <f>G143</f>
        <v>767</v>
      </c>
    </row>
    <row r="145" spans="1:7" ht="23.25" thickBot="1" x14ac:dyDescent="0.4">
      <c r="A145" s="238"/>
      <c r="B145" s="246"/>
      <c r="C145" s="240">
        <v>4</v>
      </c>
      <c r="D145" s="241">
        <f>ROUNDDOWN((F145*G145),0)</f>
        <v>613</v>
      </c>
      <c r="F145" s="200">
        <v>0.8</v>
      </c>
      <c r="G145" s="201">
        <f>G144</f>
        <v>767</v>
      </c>
    </row>
    <row r="146" spans="1:7" ht="23.25" thickTop="1" x14ac:dyDescent="0.35">
      <c r="A146" s="247" t="s">
        <v>85</v>
      </c>
      <c r="B146" s="248"/>
      <c r="C146" s="249">
        <v>1</v>
      </c>
      <c r="D146" s="250">
        <f>D142+100</f>
        <v>1058</v>
      </c>
    </row>
    <row r="147" spans="1:7" x14ac:dyDescent="0.35">
      <c r="A147" s="242" t="s">
        <v>83</v>
      </c>
      <c r="B147" s="243"/>
      <c r="C147" s="240">
        <v>2</v>
      </c>
      <c r="D147" s="241">
        <f>D143+100</f>
        <v>867</v>
      </c>
      <c r="F147" s="204">
        <f>F137</f>
        <v>138</v>
      </c>
      <c r="G147" s="205"/>
    </row>
    <row r="148" spans="1:7" x14ac:dyDescent="0.35">
      <c r="A148" s="242" t="s">
        <v>84</v>
      </c>
      <c r="B148" s="243"/>
      <c r="C148" s="251">
        <v>3</v>
      </c>
      <c r="D148" s="252">
        <f>D144+100</f>
        <v>790</v>
      </c>
    </row>
    <row r="149" spans="1:7" x14ac:dyDescent="0.35">
      <c r="A149" s="242"/>
      <c r="B149" s="243"/>
      <c r="C149" s="240">
        <v>4</v>
      </c>
      <c r="D149" s="241">
        <f>D145+100</f>
        <v>713</v>
      </c>
    </row>
    <row r="150" spans="1:7" ht="23.25" thickBot="1" x14ac:dyDescent="0.4"/>
    <row r="151" spans="1:7" ht="23.25" thickBot="1" x14ac:dyDescent="0.4">
      <c r="A151" s="230" t="s">
        <v>20</v>
      </c>
      <c r="B151" s="231"/>
      <c r="C151" s="232" t="s">
        <v>111</v>
      </c>
      <c r="D151" s="233" t="s">
        <v>113</v>
      </c>
      <c r="E151" s="197"/>
      <c r="F151" s="197"/>
      <c r="G151" s="198"/>
    </row>
    <row r="152" spans="1:7" x14ac:dyDescent="0.35">
      <c r="A152" s="234">
        <f>'Stove Oil Prices'!E17</f>
        <v>5.69</v>
      </c>
      <c r="B152" s="235" t="s">
        <v>112</v>
      </c>
      <c r="C152" s="236">
        <v>1</v>
      </c>
      <c r="D152" s="237">
        <f>ROUNDDOWN((F152*G152),0)</f>
        <v>981</v>
      </c>
      <c r="F152" s="200">
        <v>1.25</v>
      </c>
      <c r="G152" s="201">
        <f>ROUNDDOWN(A152*F157,0)</f>
        <v>785</v>
      </c>
    </row>
    <row r="153" spans="1:7" x14ac:dyDescent="0.35">
      <c r="A153" s="238"/>
      <c r="B153" s="239"/>
      <c r="C153" s="240">
        <v>2</v>
      </c>
      <c r="D153" s="241">
        <f>ROUNDDOWN((F153*G153),0)</f>
        <v>785</v>
      </c>
      <c r="F153" s="200">
        <v>1</v>
      </c>
      <c r="G153" s="201">
        <f>G152</f>
        <v>785</v>
      </c>
    </row>
    <row r="154" spans="1:7" x14ac:dyDescent="0.35">
      <c r="A154" s="242"/>
      <c r="B154" s="243"/>
      <c r="C154" s="244">
        <v>3</v>
      </c>
      <c r="D154" s="245">
        <f>ROUNDDOWN((F154*G154),0)</f>
        <v>706</v>
      </c>
      <c r="F154" s="200">
        <v>0.9</v>
      </c>
      <c r="G154" s="201">
        <f>G153</f>
        <v>785</v>
      </c>
    </row>
    <row r="155" spans="1:7" ht="23.25" thickBot="1" x14ac:dyDescent="0.4">
      <c r="A155" s="238"/>
      <c r="B155" s="246"/>
      <c r="C155" s="240">
        <v>4</v>
      </c>
      <c r="D155" s="241">
        <f>ROUNDDOWN((F155*G155),0)</f>
        <v>628</v>
      </c>
      <c r="F155" s="200">
        <v>0.8</v>
      </c>
      <c r="G155" s="201">
        <f>G154</f>
        <v>785</v>
      </c>
    </row>
    <row r="156" spans="1:7" ht="23.25" thickTop="1" x14ac:dyDescent="0.35">
      <c r="A156" s="247" t="s">
        <v>85</v>
      </c>
      <c r="B156" s="248"/>
      <c r="C156" s="249">
        <v>1</v>
      </c>
      <c r="D156" s="250">
        <f>D152+100</f>
        <v>1081</v>
      </c>
    </row>
    <row r="157" spans="1:7" x14ac:dyDescent="0.35">
      <c r="A157" s="242" t="s">
        <v>83</v>
      </c>
      <c r="B157" s="243"/>
      <c r="C157" s="240">
        <v>2</v>
      </c>
      <c r="D157" s="241">
        <f>D153+100</f>
        <v>885</v>
      </c>
      <c r="F157" s="204">
        <f>F147</f>
        <v>138</v>
      </c>
      <c r="G157" s="205"/>
    </row>
    <row r="158" spans="1:7" x14ac:dyDescent="0.35">
      <c r="A158" s="242" t="s">
        <v>84</v>
      </c>
      <c r="B158" s="243"/>
      <c r="C158" s="251">
        <v>3</v>
      </c>
      <c r="D158" s="252">
        <f>D154+100</f>
        <v>806</v>
      </c>
    </row>
    <row r="159" spans="1:7" x14ac:dyDescent="0.35">
      <c r="A159" s="242"/>
      <c r="B159" s="243"/>
      <c r="C159" s="240">
        <v>4</v>
      </c>
      <c r="D159" s="241">
        <f>D155+100</f>
        <v>728</v>
      </c>
    </row>
    <row r="160" spans="1:7" ht="23.25" thickBot="1" x14ac:dyDescent="0.4"/>
    <row r="161" spans="1:7" s="197" customFormat="1" ht="23.25" thickBot="1" x14ac:dyDescent="0.4">
      <c r="A161" s="230" t="s">
        <v>90</v>
      </c>
      <c r="B161" s="231"/>
      <c r="C161" s="232" t="s">
        <v>111</v>
      </c>
      <c r="D161" s="233" t="s">
        <v>113</v>
      </c>
      <c r="G161" s="198"/>
    </row>
    <row r="162" spans="1:7" x14ac:dyDescent="0.35">
      <c r="A162" s="234">
        <f>'Stove Oil Prices'!E18</f>
        <v>7</v>
      </c>
      <c r="B162" s="235" t="s">
        <v>112</v>
      </c>
      <c r="C162" s="236">
        <v>1</v>
      </c>
      <c r="D162" s="237">
        <f>ROUNDDOWN((F162*G162),0)</f>
        <v>1207</v>
      </c>
      <c r="F162" s="200">
        <v>1.25</v>
      </c>
      <c r="G162" s="201">
        <f>ROUNDDOWN(A162*F167,0)</f>
        <v>966</v>
      </c>
    </row>
    <row r="163" spans="1:7" x14ac:dyDescent="0.35">
      <c r="A163" s="238"/>
      <c r="B163" s="239"/>
      <c r="C163" s="240">
        <v>2</v>
      </c>
      <c r="D163" s="241">
        <f>ROUNDDOWN((F163*G163),0)</f>
        <v>966</v>
      </c>
      <c r="F163" s="200">
        <v>1</v>
      </c>
      <c r="G163" s="201">
        <f>G162</f>
        <v>966</v>
      </c>
    </row>
    <row r="164" spans="1:7" x14ac:dyDescent="0.35">
      <c r="A164" s="242"/>
      <c r="B164" s="243"/>
      <c r="C164" s="244">
        <v>3</v>
      </c>
      <c r="D164" s="245">
        <f>ROUNDDOWN((F164*G164),0)</f>
        <v>869</v>
      </c>
      <c r="F164" s="200">
        <v>0.9</v>
      </c>
      <c r="G164" s="201">
        <f>G163</f>
        <v>966</v>
      </c>
    </row>
    <row r="165" spans="1:7" ht="23.25" thickBot="1" x14ac:dyDescent="0.4">
      <c r="A165" s="238"/>
      <c r="B165" s="246"/>
      <c r="C165" s="240">
        <v>4</v>
      </c>
      <c r="D165" s="241">
        <f>ROUNDDOWN((F165*G165),0)</f>
        <v>772</v>
      </c>
      <c r="F165" s="200">
        <v>0.8</v>
      </c>
      <c r="G165" s="201">
        <f>G164</f>
        <v>966</v>
      </c>
    </row>
    <row r="166" spans="1:7" ht="23.25" thickTop="1" x14ac:dyDescent="0.35">
      <c r="A166" s="247" t="s">
        <v>85</v>
      </c>
      <c r="B166" s="248"/>
      <c r="C166" s="249">
        <v>1</v>
      </c>
      <c r="D166" s="250">
        <f>D162+100</f>
        <v>1307</v>
      </c>
    </row>
    <row r="167" spans="1:7" x14ac:dyDescent="0.35">
      <c r="A167" s="242" t="s">
        <v>83</v>
      </c>
      <c r="B167" s="243"/>
      <c r="C167" s="240">
        <v>2</v>
      </c>
      <c r="D167" s="241">
        <f>D163+100</f>
        <v>1066</v>
      </c>
      <c r="E167" s="202"/>
      <c r="F167" s="204">
        <f>F157</f>
        <v>138</v>
      </c>
    </row>
    <row r="168" spans="1:7" x14ac:dyDescent="0.35">
      <c r="A168" s="242" t="s">
        <v>84</v>
      </c>
      <c r="B168" s="243"/>
      <c r="C168" s="251">
        <v>3</v>
      </c>
      <c r="D168" s="252">
        <f>D164+100</f>
        <v>969</v>
      </c>
    </row>
    <row r="169" spans="1:7" x14ac:dyDescent="0.35">
      <c r="A169" s="242"/>
      <c r="B169" s="243"/>
      <c r="C169" s="240">
        <v>4</v>
      </c>
      <c r="D169" s="241">
        <f>D165+100</f>
        <v>872</v>
      </c>
    </row>
    <row r="170" spans="1:7" ht="23.25" thickBot="1" x14ac:dyDescent="0.4"/>
    <row r="171" spans="1:7" s="197" customFormat="1" ht="23.25" thickBot="1" x14ac:dyDescent="0.4">
      <c r="A171" s="230" t="s">
        <v>99</v>
      </c>
      <c r="B171" s="231"/>
      <c r="C171" s="232" t="s">
        <v>111</v>
      </c>
      <c r="D171" s="233" t="s">
        <v>113</v>
      </c>
      <c r="G171" s="198"/>
    </row>
    <row r="172" spans="1:7" x14ac:dyDescent="0.35">
      <c r="A172" s="234">
        <f>'Stove Oil Prices'!E19</f>
        <v>5.7</v>
      </c>
      <c r="B172" s="235" t="s">
        <v>112</v>
      </c>
      <c r="C172" s="236">
        <v>1</v>
      </c>
      <c r="D172" s="237">
        <f>ROUNDDOWN((F172*G172),0)</f>
        <v>982</v>
      </c>
      <c r="F172" s="200">
        <v>1.25</v>
      </c>
      <c r="G172" s="201">
        <f>ROUNDDOWN(A172*F177,0)</f>
        <v>786</v>
      </c>
    </row>
    <row r="173" spans="1:7" x14ac:dyDescent="0.35">
      <c r="A173" s="238"/>
      <c r="B173" s="239"/>
      <c r="C173" s="240">
        <v>2</v>
      </c>
      <c r="D173" s="241">
        <f>ROUNDDOWN((F173*G173),0)</f>
        <v>786</v>
      </c>
      <c r="F173" s="200">
        <v>1</v>
      </c>
      <c r="G173" s="201">
        <f>G172</f>
        <v>786</v>
      </c>
    </row>
    <row r="174" spans="1:7" x14ac:dyDescent="0.35">
      <c r="A174" s="242"/>
      <c r="B174" s="243"/>
      <c r="C174" s="244">
        <v>3</v>
      </c>
      <c r="D174" s="245">
        <f>ROUNDDOWN((F174*G174),0)</f>
        <v>707</v>
      </c>
      <c r="F174" s="200">
        <v>0.9</v>
      </c>
      <c r="G174" s="201">
        <f>G173</f>
        <v>786</v>
      </c>
    </row>
    <row r="175" spans="1:7" ht="23.25" thickBot="1" x14ac:dyDescent="0.4">
      <c r="A175" s="238"/>
      <c r="B175" s="246"/>
      <c r="C175" s="240">
        <v>4</v>
      </c>
      <c r="D175" s="241">
        <f>ROUNDDOWN((F175*G175),0)</f>
        <v>628</v>
      </c>
      <c r="F175" s="200">
        <v>0.8</v>
      </c>
      <c r="G175" s="201">
        <f>G174</f>
        <v>786</v>
      </c>
    </row>
    <row r="176" spans="1:7" ht="23.25" thickTop="1" x14ac:dyDescent="0.35">
      <c r="A176" s="247" t="s">
        <v>85</v>
      </c>
      <c r="B176" s="248"/>
      <c r="C176" s="249">
        <v>1</v>
      </c>
      <c r="D176" s="250">
        <f>D172+100</f>
        <v>1082</v>
      </c>
    </row>
    <row r="177" spans="1:7" x14ac:dyDescent="0.35">
      <c r="A177" s="242" t="s">
        <v>83</v>
      </c>
      <c r="B177" s="243"/>
      <c r="C177" s="240">
        <v>2</v>
      </c>
      <c r="D177" s="241">
        <f>D173+100</f>
        <v>886</v>
      </c>
      <c r="E177" s="202"/>
      <c r="F177" s="204">
        <f>F97</f>
        <v>138</v>
      </c>
    </row>
    <row r="178" spans="1:7" x14ac:dyDescent="0.35">
      <c r="A178" s="242" t="s">
        <v>84</v>
      </c>
      <c r="B178" s="243"/>
      <c r="C178" s="251">
        <v>3</v>
      </c>
      <c r="D178" s="252">
        <f>D174+100</f>
        <v>807</v>
      </c>
    </row>
    <row r="179" spans="1:7" x14ac:dyDescent="0.35">
      <c r="A179" s="242"/>
      <c r="B179" s="243"/>
      <c r="C179" s="240">
        <v>4</v>
      </c>
      <c r="D179" s="241">
        <f>D175+100</f>
        <v>728</v>
      </c>
    </row>
    <row r="180" spans="1:7" ht="23.25" thickBot="1" x14ac:dyDescent="0.4"/>
    <row r="181" spans="1:7" ht="23.25" thickBot="1" x14ac:dyDescent="0.4">
      <c r="A181" s="230" t="s">
        <v>21</v>
      </c>
      <c r="B181" s="231"/>
      <c r="C181" s="232" t="s">
        <v>111</v>
      </c>
      <c r="D181" s="233" t="s">
        <v>113</v>
      </c>
      <c r="E181" s="197"/>
      <c r="F181" s="197"/>
      <c r="G181" s="198"/>
    </row>
    <row r="182" spans="1:7" x14ac:dyDescent="0.35">
      <c r="A182" s="234">
        <f>'Stove Oil Prices'!E20</f>
        <v>6.01</v>
      </c>
      <c r="B182" s="235" t="s">
        <v>112</v>
      </c>
      <c r="C182" s="236">
        <v>1</v>
      </c>
      <c r="D182" s="237">
        <f>ROUNDDOWN((F182*G182),0)</f>
        <v>1036</v>
      </c>
      <c r="F182" s="200">
        <v>1.25</v>
      </c>
      <c r="G182" s="201">
        <f>ROUNDDOWN(A182*F187,0)</f>
        <v>829</v>
      </c>
    </row>
    <row r="183" spans="1:7" x14ac:dyDescent="0.35">
      <c r="A183" s="238"/>
      <c r="B183" s="239"/>
      <c r="C183" s="240">
        <v>2</v>
      </c>
      <c r="D183" s="241">
        <f>ROUNDDOWN((F183*G183),0)</f>
        <v>829</v>
      </c>
      <c r="F183" s="200">
        <v>1</v>
      </c>
      <c r="G183" s="201">
        <f>G182</f>
        <v>829</v>
      </c>
    </row>
    <row r="184" spans="1:7" x14ac:dyDescent="0.35">
      <c r="A184" s="242"/>
      <c r="B184" s="243"/>
      <c r="C184" s="244">
        <v>3</v>
      </c>
      <c r="D184" s="245">
        <f>ROUNDDOWN((F184*G184),0)</f>
        <v>746</v>
      </c>
      <c r="F184" s="200">
        <v>0.9</v>
      </c>
      <c r="G184" s="201">
        <f>G183</f>
        <v>829</v>
      </c>
    </row>
    <row r="185" spans="1:7" ht="23.25" thickBot="1" x14ac:dyDescent="0.4">
      <c r="A185" s="238"/>
      <c r="B185" s="246"/>
      <c r="C185" s="240">
        <v>4</v>
      </c>
      <c r="D185" s="241">
        <f>ROUNDDOWN((F185*G185),0)</f>
        <v>663</v>
      </c>
      <c r="F185" s="200">
        <v>0.8</v>
      </c>
      <c r="G185" s="201">
        <f>G184</f>
        <v>829</v>
      </c>
    </row>
    <row r="186" spans="1:7" ht="23.25" thickTop="1" x14ac:dyDescent="0.35">
      <c r="A186" s="247" t="s">
        <v>85</v>
      </c>
      <c r="B186" s="248"/>
      <c r="C186" s="249">
        <v>1</v>
      </c>
      <c r="D186" s="250">
        <f>D182+100</f>
        <v>1136</v>
      </c>
    </row>
    <row r="187" spans="1:7" x14ac:dyDescent="0.35">
      <c r="A187" s="242" t="s">
        <v>83</v>
      </c>
      <c r="B187" s="243"/>
      <c r="C187" s="240">
        <v>2</v>
      </c>
      <c r="D187" s="241">
        <f>D183+100</f>
        <v>929</v>
      </c>
      <c r="F187" s="204">
        <f>F167</f>
        <v>138</v>
      </c>
      <c r="G187" s="205"/>
    </row>
    <row r="188" spans="1:7" x14ac:dyDescent="0.35">
      <c r="A188" s="242" t="s">
        <v>84</v>
      </c>
      <c r="B188" s="243"/>
      <c r="C188" s="251">
        <v>3</v>
      </c>
      <c r="D188" s="252">
        <f>D184+100</f>
        <v>846</v>
      </c>
    </row>
    <row r="189" spans="1:7" x14ac:dyDescent="0.35">
      <c r="A189" s="242"/>
      <c r="B189" s="243"/>
      <c r="C189" s="240">
        <v>4</v>
      </c>
      <c r="D189" s="241">
        <f>D185+100</f>
        <v>763</v>
      </c>
    </row>
    <row r="190" spans="1:7" ht="23.25" thickBot="1" x14ac:dyDescent="0.4"/>
    <row r="191" spans="1:7" ht="23.25" thickBot="1" x14ac:dyDescent="0.4">
      <c r="A191" s="230" t="s">
        <v>22</v>
      </c>
      <c r="B191" s="231"/>
      <c r="C191" s="232" t="s">
        <v>111</v>
      </c>
      <c r="D191" s="233" t="s">
        <v>113</v>
      </c>
      <c r="E191" s="197"/>
      <c r="F191" s="197"/>
      <c r="G191" s="198"/>
    </row>
    <row r="192" spans="1:7" x14ac:dyDescent="0.35">
      <c r="A192" s="234">
        <f>'Stove Oil Prices'!E21</f>
        <v>4.55</v>
      </c>
      <c r="B192" s="235" t="s">
        <v>112</v>
      </c>
      <c r="C192" s="236">
        <v>1</v>
      </c>
      <c r="D192" s="237">
        <f>ROUNDDOWN((F192*G192),0)</f>
        <v>783</v>
      </c>
      <c r="F192" s="200">
        <v>1.25</v>
      </c>
      <c r="G192" s="201">
        <f>ROUNDDOWN(A192*F197,0)</f>
        <v>627</v>
      </c>
    </row>
    <row r="193" spans="1:7" x14ac:dyDescent="0.35">
      <c r="A193" s="238"/>
      <c r="B193" s="239"/>
      <c r="C193" s="240">
        <v>2</v>
      </c>
      <c r="D193" s="241">
        <f>ROUNDDOWN((F193*G193),0)</f>
        <v>627</v>
      </c>
      <c r="F193" s="200">
        <v>1</v>
      </c>
      <c r="G193" s="201">
        <f>G192</f>
        <v>627</v>
      </c>
    </row>
    <row r="194" spans="1:7" x14ac:dyDescent="0.35">
      <c r="A194" s="242"/>
      <c r="B194" s="243"/>
      <c r="C194" s="244">
        <v>3</v>
      </c>
      <c r="D194" s="245">
        <f>ROUNDDOWN((F194*G194),0)</f>
        <v>564</v>
      </c>
      <c r="F194" s="200">
        <v>0.9</v>
      </c>
      <c r="G194" s="201">
        <f>G193</f>
        <v>627</v>
      </c>
    </row>
    <row r="195" spans="1:7" ht="23.25" thickBot="1" x14ac:dyDescent="0.4">
      <c r="A195" s="238"/>
      <c r="B195" s="246"/>
      <c r="C195" s="240">
        <v>4</v>
      </c>
      <c r="D195" s="241">
        <f>ROUNDDOWN((F195*G195),0)</f>
        <v>501</v>
      </c>
      <c r="F195" s="200">
        <v>0.8</v>
      </c>
      <c r="G195" s="201">
        <f>G194</f>
        <v>627</v>
      </c>
    </row>
    <row r="196" spans="1:7" ht="23.25" thickTop="1" x14ac:dyDescent="0.35">
      <c r="A196" s="247" t="s">
        <v>85</v>
      </c>
      <c r="B196" s="248"/>
      <c r="C196" s="249">
        <v>1</v>
      </c>
      <c r="D196" s="250">
        <f>D192+100</f>
        <v>883</v>
      </c>
    </row>
    <row r="197" spans="1:7" x14ac:dyDescent="0.35">
      <c r="A197" s="242" t="s">
        <v>83</v>
      </c>
      <c r="B197" s="243"/>
      <c r="C197" s="240">
        <v>2</v>
      </c>
      <c r="D197" s="241">
        <f>D193+100</f>
        <v>727</v>
      </c>
      <c r="F197" s="204">
        <f>F187</f>
        <v>138</v>
      </c>
      <c r="G197" s="205"/>
    </row>
    <row r="198" spans="1:7" x14ac:dyDescent="0.35">
      <c r="A198" s="242" t="s">
        <v>84</v>
      </c>
      <c r="B198" s="243"/>
      <c r="C198" s="251">
        <v>3</v>
      </c>
      <c r="D198" s="252">
        <f>D194+100</f>
        <v>664</v>
      </c>
    </row>
    <row r="199" spans="1:7" x14ac:dyDescent="0.35">
      <c r="A199" s="242"/>
      <c r="B199" s="243"/>
      <c r="C199" s="240">
        <v>4</v>
      </c>
      <c r="D199" s="241">
        <f>D195+100</f>
        <v>601</v>
      </c>
    </row>
    <row r="200" spans="1:7" ht="23.25" thickBot="1" x14ac:dyDescent="0.4"/>
    <row r="201" spans="1:7" s="208" customFormat="1" ht="23.25" thickBot="1" x14ac:dyDescent="0.4">
      <c r="A201" s="230" t="s">
        <v>23</v>
      </c>
      <c r="B201" s="231"/>
      <c r="C201" s="232" t="s">
        <v>111</v>
      </c>
      <c r="D201" s="233" t="s">
        <v>113</v>
      </c>
      <c r="E201" s="206"/>
      <c r="F201" s="206"/>
      <c r="G201" s="207"/>
    </row>
    <row r="202" spans="1:7" x14ac:dyDescent="0.35">
      <c r="A202" s="234">
        <v>6.01</v>
      </c>
      <c r="B202" s="235" t="s">
        <v>112</v>
      </c>
      <c r="C202" s="236">
        <v>1</v>
      </c>
      <c r="D202" s="237">
        <f>ROUNDDOWN((F202*G202),0)</f>
        <v>1036</v>
      </c>
      <c r="F202" s="200">
        <v>1.25</v>
      </c>
      <c r="G202" s="201">
        <f>ROUNDDOWN(A202*F207,0)</f>
        <v>829</v>
      </c>
    </row>
    <row r="203" spans="1:7" x14ac:dyDescent="0.35">
      <c r="A203" s="238"/>
      <c r="B203" s="239"/>
      <c r="C203" s="240">
        <v>2</v>
      </c>
      <c r="D203" s="241">
        <f>ROUNDDOWN((F203*G203),0)</f>
        <v>829</v>
      </c>
      <c r="F203" s="200">
        <v>1</v>
      </c>
      <c r="G203" s="201">
        <f>G202</f>
        <v>829</v>
      </c>
    </row>
    <row r="204" spans="1:7" x14ac:dyDescent="0.35">
      <c r="A204" s="242"/>
      <c r="B204" s="243"/>
      <c r="C204" s="244">
        <v>3</v>
      </c>
      <c r="D204" s="245">
        <f>ROUNDDOWN((F204*G204),0)</f>
        <v>746</v>
      </c>
      <c r="F204" s="200">
        <v>0.9</v>
      </c>
      <c r="G204" s="201">
        <f>G203</f>
        <v>829</v>
      </c>
    </row>
    <row r="205" spans="1:7" ht="23.25" thickBot="1" x14ac:dyDescent="0.4">
      <c r="A205" s="238"/>
      <c r="B205" s="246"/>
      <c r="C205" s="240">
        <v>4</v>
      </c>
      <c r="D205" s="241">
        <f>ROUNDDOWN((F205*G205),0)</f>
        <v>663</v>
      </c>
      <c r="F205" s="200">
        <v>0.8</v>
      </c>
      <c r="G205" s="201">
        <f>G204</f>
        <v>829</v>
      </c>
    </row>
    <row r="206" spans="1:7" ht="23.25" thickTop="1" x14ac:dyDescent="0.35">
      <c r="A206" s="247" t="s">
        <v>85</v>
      </c>
      <c r="B206" s="248"/>
      <c r="C206" s="249">
        <v>1</v>
      </c>
      <c r="D206" s="250">
        <f>D202+100</f>
        <v>1136</v>
      </c>
    </row>
    <row r="207" spans="1:7" x14ac:dyDescent="0.35">
      <c r="A207" s="242" t="s">
        <v>83</v>
      </c>
      <c r="B207" s="243"/>
      <c r="C207" s="240">
        <v>2</v>
      </c>
      <c r="D207" s="241">
        <f>D203+100</f>
        <v>929</v>
      </c>
      <c r="F207" s="204">
        <f>F197</f>
        <v>138</v>
      </c>
      <c r="G207" s="205"/>
    </row>
    <row r="208" spans="1:7" x14ac:dyDescent="0.35">
      <c r="A208" s="242" t="s">
        <v>84</v>
      </c>
      <c r="B208" s="243"/>
      <c r="C208" s="251">
        <v>3</v>
      </c>
      <c r="D208" s="252">
        <f>D204+100</f>
        <v>846</v>
      </c>
    </row>
    <row r="209" spans="1:7" x14ac:dyDescent="0.35">
      <c r="A209" s="242"/>
      <c r="B209" s="243"/>
      <c r="C209" s="240">
        <v>4</v>
      </c>
      <c r="D209" s="241">
        <f>D205+100</f>
        <v>763</v>
      </c>
    </row>
    <row r="210" spans="1:7" ht="23.25" thickBot="1" x14ac:dyDescent="0.4"/>
    <row r="211" spans="1:7" ht="23.25" thickBot="1" x14ac:dyDescent="0.4">
      <c r="A211" s="230" t="s">
        <v>24</v>
      </c>
      <c r="B211" s="231"/>
      <c r="C211" s="232" t="s">
        <v>111</v>
      </c>
      <c r="D211" s="233" t="s">
        <v>113</v>
      </c>
      <c r="E211" s="197"/>
      <c r="F211" s="197"/>
      <c r="G211" s="198"/>
    </row>
    <row r="212" spans="1:7" x14ac:dyDescent="0.35">
      <c r="A212" s="234">
        <f>'Stove Oil Prices'!E23</f>
        <v>5.33</v>
      </c>
      <c r="B212" s="235" t="s">
        <v>112</v>
      </c>
      <c r="C212" s="236">
        <v>1</v>
      </c>
      <c r="D212" s="237">
        <f>ROUNDDOWN((F212*G212),0)</f>
        <v>918</v>
      </c>
      <c r="F212" s="200">
        <v>1.25</v>
      </c>
      <c r="G212" s="201">
        <f>ROUNDDOWN(A212*F217,0)</f>
        <v>735</v>
      </c>
    </row>
    <row r="213" spans="1:7" x14ac:dyDescent="0.35">
      <c r="A213" s="238"/>
      <c r="B213" s="239"/>
      <c r="C213" s="240">
        <v>2</v>
      </c>
      <c r="D213" s="241">
        <f>ROUNDDOWN((F213*G213),0)</f>
        <v>735</v>
      </c>
      <c r="F213" s="200">
        <v>1</v>
      </c>
      <c r="G213" s="201">
        <f>G212</f>
        <v>735</v>
      </c>
    </row>
    <row r="214" spans="1:7" x14ac:dyDescent="0.35">
      <c r="A214" s="242"/>
      <c r="B214" s="243"/>
      <c r="C214" s="244">
        <v>3</v>
      </c>
      <c r="D214" s="245">
        <f>ROUNDDOWN((F214*G214),0)</f>
        <v>661</v>
      </c>
      <c r="F214" s="200">
        <v>0.9</v>
      </c>
      <c r="G214" s="201">
        <f>G213</f>
        <v>735</v>
      </c>
    </row>
    <row r="215" spans="1:7" ht="23.25" thickBot="1" x14ac:dyDescent="0.4">
      <c r="A215" s="238"/>
      <c r="B215" s="246"/>
      <c r="C215" s="240">
        <v>4</v>
      </c>
      <c r="D215" s="241">
        <f>ROUNDDOWN((F215*G215),0)</f>
        <v>588</v>
      </c>
      <c r="F215" s="200">
        <v>0.8</v>
      </c>
      <c r="G215" s="201">
        <f>G214</f>
        <v>735</v>
      </c>
    </row>
    <row r="216" spans="1:7" ht="23.25" thickTop="1" x14ac:dyDescent="0.35">
      <c r="A216" s="247" t="s">
        <v>85</v>
      </c>
      <c r="B216" s="248"/>
      <c r="C216" s="249">
        <v>1</v>
      </c>
      <c r="D216" s="250">
        <f>D212+100</f>
        <v>1018</v>
      </c>
    </row>
    <row r="217" spans="1:7" x14ac:dyDescent="0.35">
      <c r="A217" s="242" t="s">
        <v>83</v>
      </c>
      <c r="B217" s="243"/>
      <c r="C217" s="240">
        <v>2</v>
      </c>
      <c r="D217" s="241">
        <f>D213+100</f>
        <v>835</v>
      </c>
      <c r="F217" s="204">
        <f>F207</f>
        <v>138</v>
      </c>
      <c r="G217" s="205"/>
    </row>
    <row r="218" spans="1:7" x14ac:dyDescent="0.35">
      <c r="A218" s="242" t="s">
        <v>84</v>
      </c>
      <c r="B218" s="243"/>
      <c r="C218" s="251">
        <v>3</v>
      </c>
      <c r="D218" s="252">
        <f>D214+100</f>
        <v>761</v>
      </c>
    </row>
    <row r="219" spans="1:7" x14ac:dyDescent="0.35">
      <c r="A219" s="242"/>
      <c r="B219" s="243"/>
      <c r="C219" s="240">
        <v>4</v>
      </c>
      <c r="D219" s="241">
        <f>D215+100</f>
        <v>688</v>
      </c>
    </row>
    <row r="220" spans="1:7" ht="23.25" thickBot="1" x14ac:dyDescent="0.4"/>
    <row r="221" spans="1:7" ht="23.25" thickBot="1" x14ac:dyDescent="0.4">
      <c r="A221" s="230" t="s">
        <v>25</v>
      </c>
      <c r="B221" s="231"/>
      <c r="C221" s="232" t="s">
        <v>111</v>
      </c>
      <c r="D221" s="233" t="s">
        <v>113</v>
      </c>
      <c r="E221" s="197"/>
      <c r="F221" s="197"/>
      <c r="G221" s="198"/>
    </row>
    <row r="222" spans="1:7" x14ac:dyDescent="0.35">
      <c r="A222" s="234">
        <f>'Stove Oil Prices'!E24</f>
        <v>6.85</v>
      </c>
      <c r="B222" s="235" t="s">
        <v>112</v>
      </c>
      <c r="C222" s="236">
        <v>1</v>
      </c>
      <c r="D222" s="237">
        <f>ROUNDDOWN((F222*G222),0)</f>
        <v>1181</v>
      </c>
      <c r="F222" s="200">
        <v>1.25</v>
      </c>
      <c r="G222" s="201">
        <f>ROUNDDOWN(A222*F227,0)</f>
        <v>945</v>
      </c>
    </row>
    <row r="223" spans="1:7" x14ac:dyDescent="0.35">
      <c r="A223" s="238"/>
      <c r="B223" s="239"/>
      <c r="C223" s="240">
        <v>2</v>
      </c>
      <c r="D223" s="241">
        <f>ROUNDDOWN((F223*G223),0)</f>
        <v>945</v>
      </c>
      <c r="F223" s="200">
        <v>1</v>
      </c>
      <c r="G223" s="201">
        <f>G222</f>
        <v>945</v>
      </c>
    </row>
    <row r="224" spans="1:7" x14ac:dyDescent="0.35">
      <c r="A224" s="242"/>
      <c r="B224" s="243"/>
      <c r="C224" s="244">
        <v>3</v>
      </c>
      <c r="D224" s="245">
        <f>ROUNDDOWN((F224*G224),0)</f>
        <v>850</v>
      </c>
      <c r="F224" s="200">
        <v>0.9</v>
      </c>
      <c r="G224" s="201">
        <f>G223</f>
        <v>945</v>
      </c>
    </row>
    <row r="225" spans="1:7" ht="23.25" thickBot="1" x14ac:dyDescent="0.4">
      <c r="A225" s="238"/>
      <c r="B225" s="246"/>
      <c r="C225" s="240">
        <v>4</v>
      </c>
      <c r="D225" s="241">
        <f>ROUNDDOWN((F225*G225),0)</f>
        <v>756</v>
      </c>
      <c r="F225" s="200">
        <v>0.8</v>
      </c>
      <c r="G225" s="201">
        <f>G224</f>
        <v>945</v>
      </c>
    </row>
    <row r="226" spans="1:7" ht="23.25" thickTop="1" x14ac:dyDescent="0.35">
      <c r="A226" s="247" t="s">
        <v>85</v>
      </c>
      <c r="B226" s="248"/>
      <c r="C226" s="249">
        <v>1</v>
      </c>
      <c r="D226" s="250">
        <f>D222+100</f>
        <v>1281</v>
      </c>
    </row>
    <row r="227" spans="1:7" x14ac:dyDescent="0.35">
      <c r="A227" s="242" t="s">
        <v>83</v>
      </c>
      <c r="B227" s="243"/>
      <c r="C227" s="240">
        <v>2</v>
      </c>
      <c r="D227" s="241">
        <f>D223+100</f>
        <v>1045</v>
      </c>
      <c r="F227" s="204">
        <f>F217</f>
        <v>138</v>
      </c>
      <c r="G227" s="205"/>
    </row>
    <row r="228" spans="1:7" x14ac:dyDescent="0.35">
      <c r="A228" s="242" t="s">
        <v>84</v>
      </c>
      <c r="B228" s="243"/>
      <c r="C228" s="251">
        <v>3</v>
      </c>
      <c r="D228" s="252">
        <f>D224+100</f>
        <v>950</v>
      </c>
    </row>
    <row r="229" spans="1:7" x14ac:dyDescent="0.35">
      <c r="A229" s="242"/>
      <c r="B229" s="243"/>
      <c r="C229" s="240">
        <v>4</v>
      </c>
      <c r="D229" s="241">
        <f>D225+100</f>
        <v>856</v>
      </c>
    </row>
    <row r="230" spans="1:7" ht="23.25" thickBot="1" x14ac:dyDescent="0.4"/>
    <row r="231" spans="1:7" ht="23.25" thickBot="1" x14ac:dyDescent="0.4">
      <c r="A231" s="230" t="s">
        <v>26</v>
      </c>
      <c r="B231" s="231"/>
      <c r="C231" s="232" t="s">
        <v>111</v>
      </c>
      <c r="D231" s="233" t="s">
        <v>113</v>
      </c>
      <c r="E231" s="197"/>
      <c r="F231" s="197"/>
      <c r="G231" s="198"/>
    </row>
    <row r="232" spans="1:7" x14ac:dyDescent="0.35">
      <c r="A232" s="234">
        <f>'Stove Oil Prices'!E25</f>
        <v>6.72</v>
      </c>
      <c r="B232" s="235" t="s">
        <v>112</v>
      </c>
      <c r="C232" s="236">
        <v>1</v>
      </c>
      <c r="D232" s="237">
        <f>ROUNDDOWN((F232*G232),0)</f>
        <v>1158</v>
      </c>
      <c r="F232" s="200">
        <v>1.25</v>
      </c>
      <c r="G232" s="201">
        <f>ROUNDDOWN(A232*F237,0)</f>
        <v>927</v>
      </c>
    </row>
    <row r="233" spans="1:7" x14ac:dyDescent="0.35">
      <c r="A233" s="238"/>
      <c r="B233" s="239"/>
      <c r="C233" s="240">
        <v>2</v>
      </c>
      <c r="D233" s="241">
        <f>ROUNDDOWN((F233*G233),0)</f>
        <v>927</v>
      </c>
      <c r="F233" s="200">
        <v>1</v>
      </c>
      <c r="G233" s="201">
        <f>G232</f>
        <v>927</v>
      </c>
    </row>
    <row r="234" spans="1:7" x14ac:dyDescent="0.35">
      <c r="A234" s="242"/>
      <c r="B234" s="243"/>
      <c r="C234" s="244">
        <v>3</v>
      </c>
      <c r="D234" s="245">
        <f>ROUNDDOWN((F234*G234),0)</f>
        <v>834</v>
      </c>
      <c r="F234" s="200">
        <v>0.9</v>
      </c>
      <c r="G234" s="201">
        <f>G233</f>
        <v>927</v>
      </c>
    </row>
    <row r="235" spans="1:7" ht="23.25" thickBot="1" x14ac:dyDescent="0.4">
      <c r="A235" s="238"/>
      <c r="B235" s="246"/>
      <c r="C235" s="240">
        <v>4</v>
      </c>
      <c r="D235" s="241">
        <f>ROUNDDOWN((F235*G235),0)</f>
        <v>741</v>
      </c>
      <c r="F235" s="200">
        <v>0.8</v>
      </c>
      <c r="G235" s="201">
        <f>G234</f>
        <v>927</v>
      </c>
    </row>
    <row r="236" spans="1:7" ht="23.25" thickTop="1" x14ac:dyDescent="0.35">
      <c r="A236" s="247" t="s">
        <v>85</v>
      </c>
      <c r="B236" s="248"/>
      <c r="C236" s="249">
        <v>1</v>
      </c>
      <c r="D236" s="250">
        <f>D232+100</f>
        <v>1258</v>
      </c>
    </row>
    <row r="237" spans="1:7" x14ac:dyDescent="0.35">
      <c r="A237" s="242" t="s">
        <v>83</v>
      </c>
      <c r="B237" s="243"/>
      <c r="C237" s="240">
        <v>2</v>
      </c>
      <c r="D237" s="241">
        <f>D233+100</f>
        <v>1027</v>
      </c>
      <c r="F237" s="204">
        <f>F227</f>
        <v>138</v>
      </c>
      <c r="G237" s="205"/>
    </row>
    <row r="238" spans="1:7" x14ac:dyDescent="0.35">
      <c r="A238" s="242" t="s">
        <v>84</v>
      </c>
      <c r="B238" s="243"/>
      <c r="C238" s="251">
        <v>3</v>
      </c>
      <c r="D238" s="252">
        <f>D234+100</f>
        <v>934</v>
      </c>
    </row>
    <row r="239" spans="1:7" x14ac:dyDescent="0.35">
      <c r="A239" s="242"/>
      <c r="B239" s="243"/>
      <c r="C239" s="240">
        <v>4</v>
      </c>
      <c r="D239" s="241">
        <f>D235+100</f>
        <v>841</v>
      </c>
    </row>
    <row r="240" spans="1:7" ht="23.25" thickBot="1" x14ac:dyDescent="0.4"/>
    <row r="241" spans="1:7" ht="23.25" thickBot="1" x14ac:dyDescent="0.4">
      <c r="A241" s="230" t="s">
        <v>27</v>
      </c>
      <c r="B241" s="231"/>
      <c r="C241" s="232" t="s">
        <v>111</v>
      </c>
      <c r="D241" s="233" t="s">
        <v>113</v>
      </c>
      <c r="E241" s="197"/>
      <c r="F241" s="197"/>
      <c r="G241" s="198"/>
    </row>
    <row r="242" spans="1:7" x14ac:dyDescent="0.35">
      <c r="A242" s="234">
        <f>'Stove Oil Prices'!E26</f>
        <v>6.5</v>
      </c>
      <c r="B242" s="235" t="s">
        <v>112</v>
      </c>
      <c r="C242" s="236">
        <v>1</v>
      </c>
      <c r="D242" s="237">
        <f>ROUNDDOWN((F242*G242),0)</f>
        <v>1121</v>
      </c>
      <c r="F242" s="200">
        <v>1.25</v>
      </c>
      <c r="G242" s="201">
        <f>ROUNDDOWN(A242*F247,0)</f>
        <v>897</v>
      </c>
    </row>
    <row r="243" spans="1:7" x14ac:dyDescent="0.35">
      <c r="A243" s="238"/>
      <c r="B243" s="239"/>
      <c r="C243" s="240">
        <v>2</v>
      </c>
      <c r="D243" s="241">
        <f>ROUNDDOWN((F243*G243),0)</f>
        <v>897</v>
      </c>
      <c r="F243" s="200">
        <v>1</v>
      </c>
      <c r="G243" s="201">
        <f>G242</f>
        <v>897</v>
      </c>
    </row>
    <row r="244" spans="1:7" x14ac:dyDescent="0.35">
      <c r="A244" s="242"/>
      <c r="B244" s="243"/>
      <c r="C244" s="244">
        <v>3</v>
      </c>
      <c r="D244" s="245">
        <f>ROUNDDOWN((F244*G244),0)</f>
        <v>807</v>
      </c>
      <c r="F244" s="200">
        <v>0.9</v>
      </c>
      <c r="G244" s="201">
        <f>G243</f>
        <v>897</v>
      </c>
    </row>
    <row r="245" spans="1:7" ht="23.25" thickBot="1" x14ac:dyDescent="0.4">
      <c r="A245" s="238"/>
      <c r="B245" s="246"/>
      <c r="C245" s="240">
        <v>4</v>
      </c>
      <c r="D245" s="241">
        <f>ROUNDDOWN((F245*G245),0)</f>
        <v>717</v>
      </c>
      <c r="F245" s="200">
        <v>0.8</v>
      </c>
      <c r="G245" s="201">
        <f>G244</f>
        <v>897</v>
      </c>
    </row>
    <row r="246" spans="1:7" ht="23.25" thickTop="1" x14ac:dyDescent="0.35">
      <c r="A246" s="247" t="s">
        <v>85</v>
      </c>
      <c r="B246" s="248"/>
      <c r="C246" s="249">
        <v>1</v>
      </c>
      <c r="D246" s="250">
        <f>D242+100</f>
        <v>1221</v>
      </c>
    </row>
    <row r="247" spans="1:7" x14ac:dyDescent="0.35">
      <c r="A247" s="242" t="s">
        <v>83</v>
      </c>
      <c r="B247" s="243"/>
      <c r="C247" s="240">
        <v>2</v>
      </c>
      <c r="D247" s="241">
        <f>D243+100</f>
        <v>997</v>
      </c>
      <c r="F247" s="204">
        <f>F237</f>
        <v>138</v>
      </c>
      <c r="G247" s="205"/>
    </row>
    <row r="248" spans="1:7" x14ac:dyDescent="0.35">
      <c r="A248" s="242" t="s">
        <v>84</v>
      </c>
      <c r="B248" s="243"/>
      <c r="C248" s="251">
        <v>3</v>
      </c>
      <c r="D248" s="252">
        <f>D244+100</f>
        <v>907</v>
      </c>
    </row>
    <row r="249" spans="1:7" x14ac:dyDescent="0.35">
      <c r="A249" s="242"/>
      <c r="B249" s="243"/>
      <c r="C249" s="240">
        <v>4</v>
      </c>
      <c r="D249" s="241">
        <f>D245+100</f>
        <v>817</v>
      </c>
    </row>
    <row r="250" spans="1:7" ht="23.25" thickBot="1" x14ac:dyDescent="0.4"/>
    <row r="251" spans="1:7" ht="23.25" thickBot="1" x14ac:dyDescent="0.4">
      <c r="A251" s="230" t="s">
        <v>28</v>
      </c>
      <c r="B251" s="231"/>
      <c r="C251" s="232" t="s">
        <v>111</v>
      </c>
      <c r="D251" s="233" t="s">
        <v>113</v>
      </c>
      <c r="E251" s="197"/>
      <c r="F251" s="197"/>
      <c r="G251" s="198"/>
    </row>
    <row r="252" spans="1:7" x14ac:dyDescent="0.35">
      <c r="A252" s="234">
        <f>'Stove Oil Prices'!E27</f>
        <v>5.35</v>
      </c>
      <c r="B252" s="235" t="s">
        <v>112</v>
      </c>
      <c r="C252" s="236">
        <v>1</v>
      </c>
      <c r="D252" s="237">
        <f>ROUNDDOWN((F252*G252),0)</f>
        <v>922</v>
      </c>
      <c r="F252" s="200">
        <v>1.25</v>
      </c>
      <c r="G252" s="201">
        <f>ROUNDDOWN(A252*F257,0)</f>
        <v>738</v>
      </c>
    </row>
    <row r="253" spans="1:7" x14ac:dyDescent="0.35">
      <c r="A253" s="238"/>
      <c r="B253" s="239"/>
      <c r="C253" s="240">
        <v>2</v>
      </c>
      <c r="D253" s="241">
        <f>ROUNDDOWN((F253*G253),0)</f>
        <v>738</v>
      </c>
      <c r="F253" s="200">
        <v>1</v>
      </c>
      <c r="G253" s="201">
        <f>G252</f>
        <v>738</v>
      </c>
    </row>
    <row r="254" spans="1:7" x14ac:dyDescent="0.35">
      <c r="A254" s="242"/>
      <c r="B254" s="243"/>
      <c r="C254" s="244">
        <v>3</v>
      </c>
      <c r="D254" s="245">
        <f>ROUNDDOWN((F254*G254),0)</f>
        <v>664</v>
      </c>
      <c r="F254" s="200">
        <v>0.9</v>
      </c>
      <c r="G254" s="201">
        <f>G253</f>
        <v>738</v>
      </c>
    </row>
    <row r="255" spans="1:7" ht="23.25" thickBot="1" x14ac:dyDescent="0.4">
      <c r="A255" s="238"/>
      <c r="B255" s="246"/>
      <c r="C255" s="240">
        <v>4</v>
      </c>
      <c r="D255" s="241">
        <f>ROUNDDOWN((F255*G255),0)</f>
        <v>590</v>
      </c>
      <c r="F255" s="200">
        <v>0.8</v>
      </c>
      <c r="G255" s="201">
        <f>G254</f>
        <v>738</v>
      </c>
    </row>
    <row r="256" spans="1:7" ht="23.25" thickTop="1" x14ac:dyDescent="0.35">
      <c r="A256" s="247" t="s">
        <v>85</v>
      </c>
      <c r="B256" s="248"/>
      <c r="C256" s="249">
        <v>1</v>
      </c>
      <c r="D256" s="250">
        <f>D252+100</f>
        <v>1022</v>
      </c>
    </row>
    <row r="257" spans="1:7" x14ac:dyDescent="0.35">
      <c r="A257" s="242" t="s">
        <v>83</v>
      </c>
      <c r="B257" s="243"/>
      <c r="C257" s="240">
        <v>2</v>
      </c>
      <c r="D257" s="241">
        <f>D253+100</f>
        <v>838</v>
      </c>
      <c r="F257" s="204">
        <f>F247</f>
        <v>138</v>
      </c>
      <c r="G257" s="205"/>
    </row>
    <row r="258" spans="1:7" x14ac:dyDescent="0.35">
      <c r="A258" s="242" t="s">
        <v>84</v>
      </c>
      <c r="B258" s="243"/>
      <c r="C258" s="251">
        <v>3</v>
      </c>
      <c r="D258" s="252">
        <f>D254+100</f>
        <v>764</v>
      </c>
    </row>
    <row r="259" spans="1:7" x14ac:dyDescent="0.35">
      <c r="A259" s="242"/>
      <c r="B259" s="243"/>
      <c r="C259" s="240">
        <v>4</v>
      </c>
      <c r="D259" s="241">
        <f>D255+100</f>
        <v>690</v>
      </c>
    </row>
    <row r="260" spans="1:7" ht="23.25" thickBot="1" x14ac:dyDescent="0.4"/>
    <row r="261" spans="1:7" ht="23.25" thickBot="1" x14ac:dyDescent="0.4">
      <c r="A261" s="230" t="s">
        <v>29</v>
      </c>
      <c r="B261" s="231"/>
      <c r="C261" s="232" t="s">
        <v>111</v>
      </c>
      <c r="D261" s="233" t="s">
        <v>113</v>
      </c>
      <c r="E261" s="197"/>
      <c r="F261" s="197"/>
      <c r="G261" s="198"/>
    </row>
    <row r="262" spans="1:7" x14ac:dyDescent="0.35">
      <c r="A262" s="234">
        <f>'Stove Oil Prices'!E28</f>
        <v>5.51</v>
      </c>
      <c r="B262" s="235" t="s">
        <v>112</v>
      </c>
      <c r="C262" s="236">
        <v>1</v>
      </c>
      <c r="D262" s="237">
        <f>ROUNDDOWN((F262*G262),0)</f>
        <v>950</v>
      </c>
      <c r="F262" s="200">
        <v>1.25</v>
      </c>
      <c r="G262" s="201">
        <f>ROUNDDOWN(A262*F267,0)</f>
        <v>760</v>
      </c>
    </row>
    <row r="263" spans="1:7" x14ac:dyDescent="0.35">
      <c r="A263" s="238"/>
      <c r="B263" s="239"/>
      <c r="C263" s="240">
        <v>2</v>
      </c>
      <c r="D263" s="241">
        <f>ROUNDDOWN((F263*G263),0)</f>
        <v>760</v>
      </c>
      <c r="F263" s="200">
        <v>1</v>
      </c>
      <c r="G263" s="201">
        <f>G262</f>
        <v>760</v>
      </c>
    </row>
    <row r="264" spans="1:7" x14ac:dyDescent="0.35">
      <c r="A264" s="242"/>
      <c r="B264" s="243"/>
      <c r="C264" s="244">
        <v>3</v>
      </c>
      <c r="D264" s="245">
        <f>ROUNDDOWN((F264*G264),0)</f>
        <v>684</v>
      </c>
      <c r="F264" s="200">
        <v>0.9</v>
      </c>
      <c r="G264" s="201">
        <f>G263</f>
        <v>760</v>
      </c>
    </row>
    <row r="265" spans="1:7" ht="23.25" thickBot="1" x14ac:dyDescent="0.4">
      <c r="A265" s="238"/>
      <c r="B265" s="246"/>
      <c r="C265" s="240">
        <v>4</v>
      </c>
      <c r="D265" s="241">
        <f>ROUNDDOWN((F265*G265),0)</f>
        <v>608</v>
      </c>
      <c r="F265" s="200">
        <v>0.8</v>
      </c>
      <c r="G265" s="201">
        <f>G264</f>
        <v>760</v>
      </c>
    </row>
    <row r="266" spans="1:7" ht="23.25" thickTop="1" x14ac:dyDescent="0.35">
      <c r="A266" s="247" t="s">
        <v>85</v>
      </c>
      <c r="B266" s="248"/>
      <c r="C266" s="249">
        <v>1</v>
      </c>
      <c r="D266" s="250">
        <f>D262+100</f>
        <v>1050</v>
      </c>
    </row>
    <row r="267" spans="1:7" x14ac:dyDescent="0.35">
      <c r="A267" s="242" t="s">
        <v>83</v>
      </c>
      <c r="B267" s="243"/>
      <c r="C267" s="240">
        <v>2</v>
      </c>
      <c r="D267" s="241">
        <f>D263+100</f>
        <v>860</v>
      </c>
      <c r="F267" s="204">
        <f>F257</f>
        <v>138</v>
      </c>
      <c r="G267" s="205"/>
    </row>
    <row r="268" spans="1:7" x14ac:dyDescent="0.35">
      <c r="A268" s="242" t="s">
        <v>84</v>
      </c>
      <c r="B268" s="243"/>
      <c r="C268" s="251">
        <v>3</v>
      </c>
      <c r="D268" s="252">
        <f>D264+100</f>
        <v>784</v>
      </c>
    </row>
    <row r="269" spans="1:7" x14ac:dyDescent="0.35">
      <c r="A269" s="242"/>
      <c r="B269" s="243"/>
      <c r="C269" s="240">
        <v>4</v>
      </c>
      <c r="D269" s="241">
        <f>D265+100</f>
        <v>708</v>
      </c>
    </row>
    <row r="270" spans="1:7" ht="23.25" thickBot="1" x14ac:dyDescent="0.4"/>
    <row r="271" spans="1:7" ht="23.25" thickBot="1" x14ac:dyDescent="0.4">
      <c r="A271" s="230" t="s">
        <v>30</v>
      </c>
      <c r="B271" s="231"/>
      <c r="C271" s="232" t="s">
        <v>111</v>
      </c>
      <c r="D271" s="233" t="s">
        <v>113</v>
      </c>
      <c r="E271" s="197"/>
      <c r="F271" s="197"/>
      <c r="G271" s="198"/>
    </row>
    <row r="272" spans="1:7" x14ac:dyDescent="0.35">
      <c r="A272" s="234">
        <f>'Stove Oil Prices'!E29</f>
        <v>5.9</v>
      </c>
      <c r="B272" s="235" t="s">
        <v>112</v>
      </c>
      <c r="C272" s="236">
        <v>1</v>
      </c>
      <c r="D272" s="237">
        <f>ROUNDDOWN((F272*G272),0)</f>
        <v>1017</v>
      </c>
      <c r="F272" s="200">
        <v>1.25</v>
      </c>
      <c r="G272" s="201">
        <f>ROUNDDOWN(A272*F277,0)</f>
        <v>814</v>
      </c>
    </row>
    <row r="273" spans="1:7" x14ac:dyDescent="0.35">
      <c r="A273" s="238"/>
      <c r="B273" s="239"/>
      <c r="C273" s="240">
        <v>2</v>
      </c>
      <c r="D273" s="241">
        <f>ROUNDDOWN((F273*G273),0)</f>
        <v>814</v>
      </c>
      <c r="F273" s="200">
        <v>1</v>
      </c>
      <c r="G273" s="201">
        <f>G272</f>
        <v>814</v>
      </c>
    </row>
    <row r="274" spans="1:7" x14ac:dyDescent="0.35">
      <c r="A274" s="242"/>
      <c r="B274" s="243"/>
      <c r="C274" s="244">
        <v>3</v>
      </c>
      <c r="D274" s="245">
        <f>ROUNDDOWN((F274*G274),0)</f>
        <v>732</v>
      </c>
      <c r="F274" s="200">
        <v>0.9</v>
      </c>
      <c r="G274" s="201">
        <f>G273</f>
        <v>814</v>
      </c>
    </row>
    <row r="275" spans="1:7" ht="23.25" thickBot="1" x14ac:dyDescent="0.4">
      <c r="A275" s="238"/>
      <c r="B275" s="246"/>
      <c r="C275" s="240">
        <v>4</v>
      </c>
      <c r="D275" s="241">
        <f>ROUNDDOWN((F275*G275),0)</f>
        <v>651</v>
      </c>
      <c r="F275" s="200">
        <v>0.8</v>
      </c>
      <c r="G275" s="201">
        <f>G274</f>
        <v>814</v>
      </c>
    </row>
    <row r="276" spans="1:7" ht="23.25" thickTop="1" x14ac:dyDescent="0.35">
      <c r="A276" s="247" t="s">
        <v>85</v>
      </c>
      <c r="B276" s="248"/>
      <c r="C276" s="249">
        <v>1</v>
      </c>
      <c r="D276" s="250">
        <f>D272+100</f>
        <v>1117</v>
      </c>
    </row>
    <row r="277" spans="1:7" x14ac:dyDescent="0.35">
      <c r="A277" s="242" t="s">
        <v>83</v>
      </c>
      <c r="B277" s="243"/>
      <c r="C277" s="240">
        <v>2</v>
      </c>
      <c r="D277" s="241">
        <f>D273+100</f>
        <v>914</v>
      </c>
      <c r="F277" s="204">
        <f>F267</f>
        <v>138</v>
      </c>
      <c r="G277" s="205"/>
    </row>
    <row r="278" spans="1:7" x14ac:dyDescent="0.35">
      <c r="A278" s="242" t="s">
        <v>84</v>
      </c>
      <c r="B278" s="243"/>
      <c r="C278" s="251">
        <v>3</v>
      </c>
      <c r="D278" s="252">
        <f>D274+100</f>
        <v>832</v>
      </c>
    </row>
    <row r="279" spans="1:7" x14ac:dyDescent="0.35">
      <c r="A279" s="242"/>
      <c r="B279" s="243"/>
      <c r="C279" s="240">
        <v>4</v>
      </c>
      <c r="D279" s="241">
        <f>D275+100</f>
        <v>751</v>
      </c>
    </row>
    <row r="280" spans="1:7" ht="23.25" thickBot="1" x14ac:dyDescent="0.4"/>
    <row r="281" spans="1:7" ht="23.25" thickBot="1" x14ac:dyDescent="0.4">
      <c r="A281" s="230" t="s">
        <v>31</v>
      </c>
      <c r="B281" s="231"/>
      <c r="C281" s="232" t="s">
        <v>111</v>
      </c>
      <c r="D281" s="233" t="s">
        <v>113</v>
      </c>
      <c r="E281" s="197"/>
      <c r="F281" s="197"/>
      <c r="G281" s="198"/>
    </row>
    <row r="282" spans="1:7" x14ac:dyDescent="0.35">
      <c r="A282" s="234">
        <f>'Stove Oil Prices'!E30</f>
        <v>6.03</v>
      </c>
      <c r="B282" s="235" t="s">
        <v>112</v>
      </c>
      <c r="C282" s="236">
        <v>1</v>
      </c>
      <c r="D282" s="237">
        <f>ROUNDDOWN((F282*G282),0)</f>
        <v>1040</v>
      </c>
      <c r="F282" s="200">
        <v>1.25</v>
      </c>
      <c r="G282" s="201">
        <f>ROUNDDOWN(A282*F287,0)</f>
        <v>832</v>
      </c>
    </row>
    <row r="283" spans="1:7" x14ac:dyDescent="0.35">
      <c r="A283" s="238"/>
      <c r="B283" s="239"/>
      <c r="C283" s="240">
        <v>2</v>
      </c>
      <c r="D283" s="241">
        <f>ROUNDDOWN((F283*G283),0)</f>
        <v>832</v>
      </c>
      <c r="F283" s="200">
        <v>1</v>
      </c>
      <c r="G283" s="201">
        <f>G282</f>
        <v>832</v>
      </c>
    </row>
    <row r="284" spans="1:7" x14ac:dyDescent="0.35">
      <c r="A284" s="242"/>
      <c r="B284" s="243"/>
      <c r="C284" s="244">
        <v>3</v>
      </c>
      <c r="D284" s="245">
        <f>ROUNDDOWN((F284*G284),0)</f>
        <v>748</v>
      </c>
      <c r="F284" s="200">
        <v>0.9</v>
      </c>
      <c r="G284" s="201">
        <f>G283</f>
        <v>832</v>
      </c>
    </row>
    <row r="285" spans="1:7" ht="23.25" thickBot="1" x14ac:dyDescent="0.4">
      <c r="A285" s="238"/>
      <c r="B285" s="246"/>
      <c r="C285" s="240">
        <v>4</v>
      </c>
      <c r="D285" s="241">
        <f>ROUNDDOWN((F285*G285),0)</f>
        <v>665</v>
      </c>
      <c r="F285" s="200">
        <v>0.8</v>
      </c>
      <c r="G285" s="201">
        <f>G284</f>
        <v>832</v>
      </c>
    </row>
    <row r="286" spans="1:7" ht="23.25" thickTop="1" x14ac:dyDescent="0.35">
      <c r="A286" s="247" t="s">
        <v>85</v>
      </c>
      <c r="B286" s="248"/>
      <c r="C286" s="249">
        <v>1</v>
      </c>
      <c r="D286" s="250">
        <f>D282+100</f>
        <v>1140</v>
      </c>
    </row>
    <row r="287" spans="1:7" x14ac:dyDescent="0.35">
      <c r="A287" s="242" t="s">
        <v>83</v>
      </c>
      <c r="B287" s="243"/>
      <c r="C287" s="240">
        <v>2</v>
      </c>
      <c r="D287" s="241">
        <f>D283+100</f>
        <v>932</v>
      </c>
      <c r="F287" s="204">
        <f>F277</f>
        <v>138</v>
      </c>
      <c r="G287" s="205"/>
    </row>
    <row r="288" spans="1:7" x14ac:dyDescent="0.35">
      <c r="A288" s="242" t="s">
        <v>84</v>
      </c>
      <c r="B288" s="243"/>
      <c r="C288" s="251">
        <v>3</v>
      </c>
      <c r="D288" s="252">
        <f>D284+100</f>
        <v>848</v>
      </c>
    </row>
    <row r="289" spans="1:7" x14ac:dyDescent="0.35">
      <c r="A289" s="242"/>
      <c r="B289" s="243"/>
      <c r="C289" s="240">
        <v>4</v>
      </c>
      <c r="D289" s="241">
        <f>D285+100</f>
        <v>765</v>
      </c>
    </row>
    <row r="290" spans="1:7" ht="23.25" thickBot="1" x14ac:dyDescent="0.4"/>
    <row r="291" spans="1:7" ht="23.25" thickBot="1" x14ac:dyDescent="0.4">
      <c r="A291" s="230" t="s">
        <v>32</v>
      </c>
      <c r="B291" s="231"/>
      <c r="C291" s="232" t="s">
        <v>111</v>
      </c>
      <c r="D291" s="233" t="s">
        <v>113</v>
      </c>
      <c r="E291" s="197"/>
      <c r="F291" s="197"/>
      <c r="G291" s="198"/>
    </row>
    <row r="292" spans="1:7" x14ac:dyDescent="0.35">
      <c r="A292" s="234">
        <f>'Stove Oil Prices'!E31</f>
        <v>6.2510000000000003</v>
      </c>
      <c r="B292" s="235" t="s">
        <v>112</v>
      </c>
      <c r="C292" s="236">
        <v>1</v>
      </c>
      <c r="D292" s="237">
        <f>ROUNDDOWN((F292*G292),0)</f>
        <v>1077</v>
      </c>
      <c r="F292" s="200">
        <v>1.25</v>
      </c>
      <c r="G292" s="201">
        <f>ROUNDDOWN(A292*F297,0)</f>
        <v>862</v>
      </c>
    </row>
    <row r="293" spans="1:7" x14ac:dyDescent="0.35">
      <c r="A293" s="238"/>
      <c r="B293" s="239"/>
      <c r="C293" s="240">
        <v>2</v>
      </c>
      <c r="D293" s="241">
        <f>ROUNDDOWN((F293*G293),0)</f>
        <v>862</v>
      </c>
      <c r="F293" s="200">
        <v>1</v>
      </c>
      <c r="G293" s="201">
        <f>G292</f>
        <v>862</v>
      </c>
    </row>
    <row r="294" spans="1:7" x14ac:dyDescent="0.35">
      <c r="A294" s="242"/>
      <c r="B294" s="243"/>
      <c r="C294" s="244">
        <v>3</v>
      </c>
      <c r="D294" s="245">
        <f>ROUNDDOWN((F294*G294),0)</f>
        <v>775</v>
      </c>
      <c r="F294" s="200">
        <v>0.9</v>
      </c>
      <c r="G294" s="201">
        <f>G293</f>
        <v>862</v>
      </c>
    </row>
    <row r="295" spans="1:7" ht="23.25" thickBot="1" x14ac:dyDescent="0.4">
      <c r="A295" s="238"/>
      <c r="B295" s="246"/>
      <c r="C295" s="240">
        <v>4</v>
      </c>
      <c r="D295" s="241">
        <f>ROUNDDOWN((F295*G295),0)</f>
        <v>689</v>
      </c>
      <c r="F295" s="200">
        <v>0.8</v>
      </c>
      <c r="G295" s="201">
        <f>G294</f>
        <v>862</v>
      </c>
    </row>
    <row r="296" spans="1:7" ht="23.25" thickTop="1" x14ac:dyDescent="0.35">
      <c r="A296" s="247" t="s">
        <v>85</v>
      </c>
      <c r="B296" s="248"/>
      <c r="C296" s="249">
        <v>1</v>
      </c>
      <c r="D296" s="250">
        <f>D292+100</f>
        <v>1177</v>
      </c>
    </row>
    <row r="297" spans="1:7" x14ac:dyDescent="0.35">
      <c r="A297" s="242" t="s">
        <v>83</v>
      </c>
      <c r="B297" s="243"/>
      <c r="C297" s="240">
        <v>2</v>
      </c>
      <c r="D297" s="241">
        <f>D293+100</f>
        <v>962</v>
      </c>
      <c r="F297" s="204">
        <f>F287</f>
        <v>138</v>
      </c>
      <c r="G297" s="205"/>
    </row>
    <row r="298" spans="1:7" x14ac:dyDescent="0.35">
      <c r="A298" s="242" t="s">
        <v>84</v>
      </c>
      <c r="B298" s="243"/>
      <c r="C298" s="251">
        <v>3</v>
      </c>
      <c r="D298" s="252">
        <f>D294+100</f>
        <v>875</v>
      </c>
    </row>
    <row r="299" spans="1:7" x14ac:dyDescent="0.35">
      <c r="A299" s="242"/>
      <c r="B299" s="243"/>
      <c r="C299" s="240">
        <v>4</v>
      </c>
      <c r="D299" s="241">
        <f>D295+100</f>
        <v>789</v>
      </c>
    </row>
    <row r="300" spans="1:7" ht="23.25" thickBot="1" x14ac:dyDescent="0.4"/>
    <row r="301" spans="1:7" ht="23.25" thickBot="1" x14ac:dyDescent="0.4">
      <c r="A301" s="230" t="s">
        <v>33</v>
      </c>
      <c r="B301" s="231"/>
      <c r="C301" s="232" t="s">
        <v>111</v>
      </c>
      <c r="D301" s="233" t="s">
        <v>113</v>
      </c>
      <c r="E301" s="197"/>
      <c r="F301" s="197"/>
      <c r="G301" s="198"/>
    </row>
    <row r="302" spans="1:7" x14ac:dyDescent="0.35">
      <c r="A302" s="234">
        <f>'Stove Oil Prices'!E32</f>
        <v>3.35</v>
      </c>
      <c r="B302" s="235" t="s">
        <v>112</v>
      </c>
      <c r="C302" s="236">
        <v>1</v>
      </c>
      <c r="D302" s="237">
        <f>ROUNDDOWN((F302*G302),0)</f>
        <v>577</v>
      </c>
      <c r="F302" s="200">
        <v>1.25</v>
      </c>
      <c r="G302" s="201">
        <f>ROUNDDOWN(A302*F307,0)</f>
        <v>462</v>
      </c>
    </row>
    <row r="303" spans="1:7" x14ac:dyDescent="0.35">
      <c r="A303" s="238"/>
      <c r="B303" s="239"/>
      <c r="C303" s="240">
        <v>2</v>
      </c>
      <c r="D303" s="241">
        <f>ROUNDDOWN((F303*G303),0)</f>
        <v>462</v>
      </c>
      <c r="F303" s="200">
        <v>1</v>
      </c>
      <c r="G303" s="201">
        <f>G302</f>
        <v>462</v>
      </c>
    </row>
    <row r="304" spans="1:7" x14ac:dyDescent="0.35">
      <c r="A304" s="242"/>
      <c r="B304" s="243"/>
      <c r="C304" s="244">
        <v>3</v>
      </c>
      <c r="D304" s="245">
        <f>ROUNDDOWN((F304*G304),0)</f>
        <v>415</v>
      </c>
      <c r="F304" s="200">
        <v>0.9</v>
      </c>
      <c r="G304" s="201">
        <f>G303</f>
        <v>462</v>
      </c>
    </row>
    <row r="305" spans="1:7" ht="23.25" thickBot="1" x14ac:dyDescent="0.4">
      <c r="A305" s="238"/>
      <c r="B305" s="246"/>
      <c r="C305" s="240">
        <v>4</v>
      </c>
      <c r="D305" s="241">
        <f>ROUNDDOWN((F305*G305),0)</f>
        <v>369</v>
      </c>
      <c r="F305" s="200">
        <v>0.8</v>
      </c>
      <c r="G305" s="201">
        <f>G304</f>
        <v>462</v>
      </c>
    </row>
    <row r="306" spans="1:7" ht="23.25" thickTop="1" x14ac:dyDescent="0.35">
      <c r="A306" s="247" t="s">
        <v>85</v>
      </c>
      <c r="B306" s="248"/>
      <c r="C306" s="249">
        <v>1</v>
      </c>
      <c r="D306" s="250">
        <f>D302+100</f>
        <v>677</v>
      </c>
    </row>
    <row r="307" spans="1:7" x14ac:dyDescent="0.35">
      <c r="A307" s="242" t="s">
        <v>83</v>
      </c>
      <c r="B307" s="243"/>
      <c r="C307" s="240">
        <v>2</v>
      </c>
      <c r="D307" s="241">
        <f>D303+100</f>
        <v>562</v>
      </c>
      <c r="F307" s="204">
        <f>F297</f>
        <v>138</v>
      </c>
      <c r="G307" s="205"/>
    </row>
    <row r="308" spans="1:7" x14ac:dyDescent="0.35">
      <c r="A308" s="242" t="s">
        <v>84</v>
      </c>
      <c r="B308" s="243"/>
      <c r="C308" s="251">
        <v>3</v>
      </c>
      <c r="D308" s="252">
        <f>D304+100</f>
        <v>515</v>
      </c>
    </row>
    <row r="309" spans="1:7" x14ac:dyDescent="0.35">
      <c r="A309" s="242"/>
      <c r="B309" s="243"/>
      <c r="C309" s="240">
        <v>4</v>
      </c>
      <c r="D309" s="241">
        <f>D305+100</f>
        <v>469</v>
      </c>
    </row>
    <row r="310" spans="1:7" ht="23.25" thickBot="1" x14ac:dyDescent="0.4"/>
    <row r="311" spans="1:7" ht="23.25" thickBot="1" x14ac:dyDescent="0.4">
      <c r="A311" s="230" t="s">
        <v>34</v>
      </c>
      <c r="B311" s="231"/>
      <c r="C311" s="232" t="s">
        <v>111</v>
      </c>
      <c r="D311" s="233" t="s">
        <v>113</v>
      </c>
      <c r="E311" s="197"/>
      <c r="F311" s="197"/>
      <c r="G311" s="198"/>
    </row>
    <row r="312" spans="1:7" x14ac:dyDescent="0.35">
      <c r="A312" s="234">
        <f>'Stove Oil Prices'!E33</f>
        <v>4.8499999999999996</v>
      </c>
      <c r="B312" s="235" t="s">
        <v>112</v>
      </c>
      <c r="C312" s="236">
        <v>1</v>
      </c>
      <c r="D312" s="237">
        <f>ROUNDDOWN((F312*G312),0)</f>
        <v>836</v>
      </c>
      <c r="F312" s="200">
        <v>1.25</v>
      </c>
      <c r="G312" s="201">
        <f>ROUNDDOWN(A312*F317,0)</f>
        <v>669</v>
      </c>
    </row>
    <row r="313" spans="1:7" x14ac:dyDescent="0.35">
      <c r="A313" s="238"/>
      <c r="B313" s="239"/>
      <c r="C313" s="240">
        <v>2</v>
      </c>
      <c r="D313" s="241">
        <f>ROUNDDOWN((F313*G313),0)</f>
        <v>669</v>
      </c>
      <c r="F313" s="200">
        <v>1</v>
      </c>
      <c r="G313" s="201">
        <f>G312</f>
        <v>669</v>
      </c>
    </row>
    <row r="314" spans="1:7" x14ac:dyDescent="0.35">
      <c r="A314" s="242"/>
      <c r="B314" s="243"/>
      <c r="C314" s="244">
        <v>3</v>
      </c>
      <c r="D314" s="245">
        <f>ROUNDDOWN((F314*G314),0)</f>
        <v>602</v>
      </c>
      <c r="F314" s="200">
        <v>0.9</v>
      </c>
      <c r="G314" s="201">
        <f>G313</f>
        <v>669</v>
      </c>
    </row>
    <row r="315" spans="1:7" ht="23.25" thickBot="1" x14ac:dyDescent="0.4">
      <c r="A315" s="238"/>
      <c r="B315" s="246"/>
      <c r="C315" s="240">
        <v>4</v>
      </c>
      <c r="D315" s="241">
        <f>ROUNDDOWN((F315*G315),0)</f>
        <v>535</v>
      </c>
      <c r="F315" s="200">
        <v>0.8</v>
      </c>
      <c r="G315" s="201">
        <f>G314</f>
        <v>669</v>
      </c>
    </row>
    <row r="316" spans="1:7" ht="23.25" thickTop="1" x14ac:dyDescent="0.35">
      <c r="A316" s="247" t="s">
        <v>85</v>
      </c>
      <c r="B316" s="248"/>
      <c r="C316" s="249">
        <v>1</v>
      </c>
      <c r="D316" s="250">
        <f>D312+100</f>
        <v>936</v>
      </c>
    </row>
    <row r="317" spans="1:7" x14ac:dyDescent="0.35">
      <c r="A317" s="242" t="s">
        <v>83</v>
      </c>
      <c r="B317" s="243"/>
      <c r="C317" s="240">
        <v>2</v>
      </c>
      <c r="D317" s="241">
        <f>D313+100</f>
        <v>769</v>
      </c>
      <c r="F317" s="204">
        <f>F307</f>
        <v>138</v>
      </c>
      <c r="G317" s="205"/>
    </row>
    <row r="318" spans="1:7" x14ac:dyDescent="0.35">
      <c r="A318" s="242" t="s">
        <v>84</v>
      </c>
      <c r="B318" s="243"/>
      <c r="C318" s="251">
        <v>3</v>
      </c>
      <c r="D318" s="252">
        <f>D314+100</f>
        <v>702</v>
      </c>
    </row>
    <row r="319" spans="1:7" x14ac:dyDescent="0.35">
      <c r="A319" s="242"/>
      <c r="B319" s="243"/>
      <c r="C319" s="240">
        <v>4</v>
      </c>
      <c r="D319" s="241">
        <f>D315+100</f>
        <v>635</v>
      </c>
    </row>
    <row r="320" spans="1:7" ht="23.25" thickBot="1" x14ac:dyDescent="0.4"/>
    <row r="321" spans="1:7" s="197" customFormat="1" ht="23.25" thickBot="1" x14ac:dyDescent="0.4">
      <c r="A321" s="230" t="s">
        <v>88</v>
      </c>
      <c r="B321" s="231"/>
      <c r="C321" s="232" t="s">
        <v>111</v>
      </c>
      <c r="D321" s="233" t="s">
        <v>113</v>
      </c>
      <c r="G321" s="198"/>
    </row>
    <row r="322" spans="1:7" x14ac:dyDescent="0.35">
      <c r="A322" s="234">
        <f>'Stove Oil Prices'!E34</f>
        <v>7</v>
      </c>
      <c r="B322" s="235" t="s">
        <v>112</v>
      </c>
      <c r="C322" s="236">
        <v>1</v>
      </c>
      <c r="D322" s="237">
        <f>ROUNDDOWN((F322*G322),0)</f>
        <v>1207</v>
      </c>
      <c r="F322" s="200">
        <v>1.25</v>
      </c>
      <c r="G322" s="201">
        <f>ROUNDDOWN(A322*F327,0)</f>
        <v>966</v>
      </c>
    </row>
    <row r="323" spans="1:7" x14ac:dyDescent="0.35">
      <c r="A323" s="238"/>
      <c r="B323" s="239"/>
      <c r="C323" s="240">
        <v>2</v>
      </c>
      <c r="D323" s="241">
        <f>ROUNDDOWN((F323*G323),0)</f>
        <v>966</v>
      </c>
      <c r="F323" s="200">
        <v>1</v>
      </c>
      <c r="G323" s="201">
        <f>G322</f>
        <v>966</v>
      </c>
    </row>
    <row r="324" spans="1:7" x14ac:dyDescent="0.35">
      <c r="A324" s="242"/>
      <c r="B324" s="243"/>
      <c r="C324" s="244">
        <v>3</v>
      </c>
      <c r="D324" s="245">
        <f>ROUNDDOWN((F324*G324),0)</f>
        <v>869</v>
      </c>
      <c r="F324" s="200">
        <v>0.9</v>
      </c>
      <c r="G324" s="201">
        <f>G323</f>
        <v>966</v>
      </c>
    </row>
    <row r="325" spans="1:7" ht="23.25" thickBot="1" x14ac:dyDescent="0.4">
      <c r="A325" s="238"/>
      <c r="B325" s="246"/>
      <c r="C325" s="240">
        <v>4</v>
      </c>
      <c r="D325" s="241">
        <f>ROUNDDOWN((F325*G325),0)</f>
        <v>772</v>
      </c>
      <c r="F325" s="200">
        <v>0.8</v>
      </c>
      <c r="G325" s="201">
        <f>G324</f>
        <v>966</v>
      </c>
    </row>
    <row r="326" spans="1:7" ht="23.25" thickTop="1" x14ac:dyDescent="0.35">
      <c r="A326" s="247" t="s">
        <v>85</v>
      </c>
      <c r="B326" s="248"/>
      <c r="C326" s="249">
        <v>1</v>
      </c>
      <c r="D326" s="250">
        <f>D322+100</f>
        <v>1307</v>
      </c>
    </row>
    <row r="327" spans="1:7" x14ac:dyDescent="0.35">
      <c r="A327" s="242" t="s">
        <v>83</v>
      </c>
      <c r="B327" s="243"/>
      <c r="C327" s="240">
        <v>2</v>
      </c>
      <c r="D327" s="241">
        <f>D323+100</f>
        <v>1066</v>
      </c>
      <c r="E327" s="202"/>
      <c r="F327" s="204">
        <f>F317</f>
        <v>138</v>
      </c>
      <c r="G327" s="205"/>
    </row>
    <row r="328" spans="1:7" x14ac:dyDescent="0.35">
      <c r="A328" s="242" t="s">
        <v>84</v>
      </c>
      <c r="B328" s="243"/>
      <c r="C328" s="251">
        <v>3</v>
      </c>
      <c r="D328" s="252">
        <f>D324+100</f>
        <v>969</v>
      </c>
    </row>
    <row r="329" spans="1:7" x14ac:dyDescent="0.35">
      <c r="A329" s="242"/>
      <c r="B329" s="243"/>
      <c r="C329" s="240">
        <v>4</v>
      </c>
      <c r="D329" s="241">
        <f>D325+100</f>
        <v>872</v>
      </c>
    </row>
    <row r="330" spans="1:7" ht="23.25" thickBot="1" x14ac:dyDescent="0.4"/>
    <row r="331" spans="1:7" ht="23.25" thickBot="1" x14ac:dyDescent="0.4">
      <c r="A331" s="230" t="s">
        <v>45</v>
      </c>
      <c r="B331" s="231"/>
      <c r="C331" s="232" t="s">
        <v>111</v>
      </c>
      <c r="D331" s="233" t="s">
        <v>113</v>
      </c>
      <c r="E331" s="197"/>
      <c r="F331" s="197"/>
      <c r="G331" s="198"/>
    </row>
    <row r="332" spans="1:7" x14ac:dyDescent="0.35">
      <c r="A332" s="234">
        <f>'Stove Oil Prices'!E35</f>
        <v>4.62</v>
      </c>
      <c r="B332" s="235" t="s">
        <v>112</v>
      </c>
      <c r="C332" s="236">
        <v>1</v>
      </c>
      <c r="D332" s="237">
        <f>ROUNDDOWN((F332*G332),0)</f>
        <v>796</v>
      </c>
      <c r="F332" s="200">
        <v>1.25</v>
      </c>
      <c r="G332" s="201">
        <f>ROUNDDOWN(A332*F337,0)</f>
        <v>637</v>
      </c>
    </row>
    <row r="333" spans="1:7" x14ac:dyDescent="0.35">
      <c r="A333" s="238"/>
      <c r="B333" s="239"/>
      <c r="C333" s="240">
        <v>2</v>
      </c>
      <c r="D333" s="241">
        <f>ROUNDDOWN((F333*G333),0)</f>
        <v>637</v>
      </c>
      <c r="F333" s="200">
        <v>1</v>
      </c>
      <c r="G333" s="201">
        <f>G332</f>
        <v>637</v>
      </c>
    </row>
    <row r="334" spans="1:7" x14ac:dyDescent="0.35">
      <c r="A334" s="242"/>
      <c r="B334" s="243"/>
      <c r="C334" s="244">
        <v>3</v>
      </c>
      <c r="D334" s="245">
        <f>ROUNDDOWN((F334*G334),0)</f>
        <v>573</v>
      </c>
      <c r="F334" s="200">
        <v>0.9</v>
      </c>
      <c r="G334" s="201">
        <f>G333</f>
        <v>637</v>
      </c>
    </row>
    <row r="335" spans="1:7" ht="23.25" thickBot="1" x14ac:dyDescent="0.4">
      <c r="A335" s="238"/>
      <c r="B335" s="246"/>
      <c r="C335" s="240">
        <v>4</v>
      </c>
      <c r="D335" s="241">
        <f>ROUNDDOWN((F335*G335),0)</f>
        <v>509</v>
      </c>
      <c r="F335" s="200">
        <v>0.8</v>
      </c>
      <c r="G335" s="201">
        <f>G334</f>
        <v>637</v>
      </c>
    </row>
    <row r="336" spans="1:7" ht="23.25" thickTop="1" x14ac:dyDescent="0.35">
      <c r="A336" s="247" t="s">
        <v>85</v>
      </c>
      <c r="B336" s="248"/>
      <c r="C336" s="249">
        <v>1</v>
      </c>
      <c r="D336" s="250">
        <f>D332+100</f>
        <v>896</v>
      </c>
    </row>
    <row r="337" spans="1:7" x14ac:dyDescent="0.35">
      <c r="A337" s="242" t="s">
        <v>83</v>
      </c>
      <c r="B337" s="243"/>
      <c r="C337" s="240">
        <v>2</v>
      </c>
      <c r="D337" s="241">
        <f>D333+100</f>
        <v>737</v>
      </c>
      <c r="F337" s="204">
        <f>F327</f>
        <v>138</v>
      </c>
      <c r="G337" s="205"/>
    </row>
    <row r="338" spans="1:7" x14ac:dyDescent="0.35">
      <c r="A338" s="242" t="s">
        <v>84</v>
      </c>
      <c r="B338" s="243"/>
      <c r="C338" s="251">
        <v>3</v>
      </c>
      <c r="D338" s="252">
        <f>D334+100</f>
        <v>673</v>
      </c>
    </row>
    <row r="339" spans="1:7" x14ac:dyDescent="0.35">
      <c r="A339" s="242"/>
      <c r="B339" s="243"/>
      <c r="C339" s="240">
        <v>4</v>
      </c>
      <c r="D339" s="241">
        <f>D335+100</f>
        <v>609</v>
      </c>
    </row>
    <row r="340" spans="1:7" ht="23.25" thickBot="1" x14ac:dyDescent="0.4"/>
    <row r="341" spans="1:7" ht="23.25" thickBot="1" x14ac:dyDescent="0.4">
      <c r="A341" s="230" t="s">
        <v>36</v>
      </c>
      <c r="B341" s="231"/>
      <c r="C341" s="232" t="s">
        <v>111</v>
      </c>
      <c r="D341" s="233" t="s">
        <v>113</v>
      </c>
      <c r="E341" s="197"/>
      <c r="F341" s="197"/>
      <c r="G341" s="198"/>
    </row>
    <row r="342" spans="1:7" x14ac:dyDescent="0.35">
      <c r="A342" s="234">
        <f>'Stove Oil Prices'!E36</f>
        <v>6.2510000000000003</v>
      </c>
      <c r="B342" s="235" t="s">
        <v>112</v>
      </c>
      <c r="C342" s="236">
        <v>1</v>
      </c>
      <c r="D342" s="237">
        <f>ROUNDDOWN((F342*G342),0)</f>
        <v>1077</v>
      </c>
      <c r="F342" s="200">
        <v>1.25</v>
      </c>
      <c r="G342" s="201">
        <f>ROUNDDOWN(A342*F347,0)</f>
        <v>862</v>
      </c>
    </row>
    <row r="343" spans="1:7" x14ac:dyDescent="0.35">
      <c r="A343" s="238"/>
      <c r="B343" s="239"/>
      <c r="C343" s="240">
        <v>2</v>
      </c>
      <c r="D343" s="241">
        <f>ROUNDDOWN((F343*G343),0)</f>
        <v>862</v>
      </c>
      <c r="F343" s="200">
        <v>1</v>
      </c>
      <c r="G343" s="201">
        <f>G342</f>
        <v>862</v>
      </c>
    </row>
    <row r="344" spans="1:7" x14ac:dyDescent="0.35">
      <c r="A344" s="242"/>
      <c r="B344" s="243"/>
      <c r="C344" s="244">
        <v>3</v>
      </c>
      <c r="D344" s="245">
        <f>ROUNDDOWN((F344*G344),0)</f>
        <v>775</v>
      </c>
      <c r="F344" s="200">
        <v>0.9</v>
      </c>
      <c r="G344" s="201">
        <f>G343</f>
        <v>862</v>
      </c>
    </row>
    <row r="345" spans="1:7" ht="23.25" thickBot="1" x14ac:dyDescent="0.4">
      <c r="A345" s="238"/>
      <c r="B345" s="246"/>
      <c r="C345" s="240">
        <v>4</v>
      </c>
      <c r="D345" s="241">
        <f>ROUNDDOWN((F345*G345),0)</f>
        <v>689</v>
      </c>
      <c r="F345" s="200">
        <v>0.8</v>
      </c>
      <c r="G345" s="201">
        <f>G344</f>
        <v>862</v>
      </c>
    </row>
    <row r="346" spans="1:7" ht="23.25" thickTop="1" x14ac:dyDescent="0.35">
      <c r="A346" s="247" t="s">
        <v>85</v>
      </c>
      <c r="B346" s="248"/>
      <c r="C346" s="249">
        <v>1</v>
      </c>
      <c r="D346" s="250">
        <f>D342+100</f>
        <v>1177</v>
      </c>
    </row>
    <row r="347" spans="1:7" x14ac:dyDescent="0.35">
      <c r="A347" s="242" t="s">
        <v>83</v>
      </c>
      <c r="B347" s="243"/>
      <c r="C347" s="240">
        <v>2</v>
      </c>
      <c r="D347" s="241">
        <f>D343+100</f>
        <v>962</v>
      </c>
      <c r="F347" s="204">
        <f>F337</f>
        <v>138</v>
      </c>
      <c r="G347" s="205"/>
    </row>
    <row r="348" spans="1:7" x14ac:dyDescent="0.35">
      <c r="A348" s="242" t="s">
        <v>84</v>
      </c>
      <c r="B348" s="243"/>
      <c r="C348" s="251">
        <v>3</v>
      </c>
      <c r="D348" s="252">
        <f>D344+100</f>
        <v>875</v>
      </c>
    </row>
    <row r="349" spans="1:7" x14ac:dyDescent="0.35">
      <c r="A349" s="242"/>
      <c r="B349" s="243"/>
      <c r="C349" s="240">
        <v>4</v>
      </c>
      <c r="D349" s="241">
        <f>D345+100</f>
        <v>789</v>
      </c>
    </row>
    <row r="350" spans="1:7" ht="23.25" thickBot="1" x14ac:dyDescent="0.4"/>
    <row r="351" spans="1:7" ht="23.25" thickBot="1" x14ac:dyDescent="0.4">
      <c r="A351" s="230" t="s">
        <v>35</v>
      </c>
      <c r="B351" s="231"/>
      <c r="C351" s="232" t="s">
        <v>111</v>
      </c>
      <c r="D351" s="233" t="s">
        <v>113</v>
      </c>
      <c r="E351" s="197"/>
      <c r="F351" s="197"/>
      <c r="G351" s="198"/>
    </row>
    <row r="352" spans="1:7" x14ac:dyDescent="0.35">
      <c r="A352" s="234">
        <f>'Stove Oil Prices'!E37</f>
        <v>5.99</v>
      </c>
      <c r="B352" s="235" t="s">
        <v>112</v>
      </c>
      <c r="C352" s="236">
        <v>1</v>
      </c>
      <c r="D352" s="237">
        <f>ROUNDDOWN((F352*G352),0)</f>
        <v>1032</v>
      </c>
      <c r="F352" s="200">
        <v>1.25</v>
      </c>
      <c r="G352" s="201">
        <f>ROUNDDOWN(A352*F357,0)</f>
        <v>826</v>
      </c>
    </row>
    <row r="353" spans="1:7" x14ac:dyDescent="0.35">
      <c r="A353" s="238"/>
      <c r="B353" s="239"/>
      <c r="C353" s="240">
        <v>2</v>
      </c>
      <c r="D353" s="241">
        <f>ROUNDDOWN((F353*G353),0)</f>
        <v>826</v>
      </c>
      <c r="F353" s="200">
        <v>1</v>
      </c>
      <c r="G353" s="201">
        <f>G352</f>
        <v>826</v>
      </c>
    </row>
    <row r="354" spans="1:7" x14ac:dyDescent="0.35">
      <c r="A354" s="242"/>
      <c r="B354" s="243"/>
      <c r="C354" s="244">
        <v>3</v>
      </c>
      <c r="D354" s="245">
        <f>ROUNDDOWN((F354*G354),0)</f>
        <v>743</v>
      </c>
      <c r="F354" s="200">
        <v>0.9</v>
      </c>
      <c r="G354" s="201">
        <f>G353</f>
        <v>826</v>
      </c>
    </row>
    <row r="355" spans="1:7" ht="23.25" thickBot="1" x14ac:dyDescent="0.4">
      <c r="A355" s="238"/>
      <c r="B355" s="246"/>
      <c r="C355" s="240">
        <v>4</v>
      </c>
      <c r="D355" s="241">
        <f>ROUNDDOWN((F355*G355),0)</f>
        <v>660</v>
      </c>
      <c r="F355" s="200">
        <v>0.8</v>
      </c>
      <c r="G355" s="201">
        <f>G354</f>
        <v>826</v>
      </c>
    </row>
    <row r="356" spans="1:7" ht="23.25" thickTop="1" x14ac:dyDescent="0.35">
      <c r="A356" s="247" t="s">
        <v>85</v>
      </c>
      <c r="B356" s="248"/>
      <c r="C356" s="249">
        <v>1</v>
      </c>
      <c r="D356" s="250">
        <f>D352+100</f>
        <v>1132</v>
      </c>
    </row>
    <row r="357" spans="1:7" x14ac:dyDescent="0.35">
      <c r="A357" s="242" t="s">
        <v>83</v>
      </c>
      <c r="B357" s="243"/>
      <c r="C357" s="240">
        <v>2</v>
      </c>
      <c r="D357" s="241">
        <f>D353+100</f>
        <v>926</v>
      </c>
      <c r="F357" s="204">
        <f>F347</f>
        <v>138</v>
      </c>
      <c r="G357" s="205"/>
    </row>
    <row r="358" spans="1:7" x14ac:dyDescent="0.35">
      <c r="A358" s="242" t="s">
        <v>84</v>
      </c>
      <c r="B358" s="243"/>
      <c r="C358" s="251">
        <v>3</v>
      </c>
      <c r="D358" s="252">
        <f>D354+100</f>
        <v>843</v>
      </c>
    </row>
    <row r="359" spans="1:7" x14ac:dyDescent="0.35">
      <c r="A359" s="242"/>
      <c r="B359" s="243"/>
      <c r="C359" s="240">
        <v>4</v>
      </c>
      <c r="D359" s="241">
        <f>D355+100</f>
        <v>760</v>
      </c>
    </row>
    <row r="360" spans="1:7" ht="23.25" thickBot="1" x14ac:dyDescent="0.4"/>
    <row r="361" spans="1:7" s="197" customFormat="1" ht="23.25" thickBot="1" x14ac:dyDescent="0.4">
      <c r="A361" s="230" t="s">
        <v>89</v>
      </c>
      <c r="B361" s="231"/>
      <c r="C361" s="232" t="s">
        <v>111</v>
      </c>
      <c r="D361" s="233" t="s">
        <v>113</v>
      </c>
      <c r="G361" s="198"/>
    </row>
    <row r="362" spans="1:7" x14ac:dyDescent="0.35">
      <c r="A362" s="234">
        <f>'Stove Oil Prices'!E38</f>
        <v>7</v>
      </c>
      <c r="B362" s="235" t="s">
        <v>112</v>
      </c>
      <c r="C362" s="236">
        <v>1</v>
      </c>
      <c r="D362" s="237">
        <f>ROUNDDOWN((F362*G362),0)</f>
        <v>1207</v>
      </c>
      <c r="F362" s="200">
        <v>1.25</v>
      </c>
      <c r="G362" s="201">
        <f>ROUNDDOWN(A362*F367,0)</f>
        <v>966</v>
      </c>
    </row>
    <row r="363" spans="1:7" x14ac:dyDescent="0.35">
      <c r="A363" s="238"/>
      <c r="B363" s="239"/>
      <c r="C363" s="240">
        <v>2</v>
      </c>
      <c r="D363" s="241">
        <f>ROUNDDOWN((F363*G363),0)</f>
        <v>966</v>
      </c>
      <c r="F363" s="200">
        <v>1</v>
      </c>
      <c r="G363" s="201">
        <f>G362</f>
        <v>966</v>
      </c>
    </row>
    <row r="364" spans="1:7" x14ac:dyDescent="0.35">
      <c r="A364" s="242"/>
      <c r="B364" s="243"/>
      <c r="C364" s="244">
        <v>3</v>
      </c>
      <c r="D364" s="245">
        <f>ROUNDDOWN((F364*G364),0)</f>
        <v>869</v>
      </c>
      <c r="F364" s="200">
        <v>0.9</v>
      </c>
      <c r="G364" s="201">
        <f>G363</f>
        <v>966</v>
      </c>
    </row>
    <row r="365" spans="1:7" ht="23.25" thickBot="1" x14ac:dyDescent="0.4">
      <c r="A365" s="238"/>
      <c r="B365" s="246"/>
      <c r="C365" s="240">
        <v>4</v>
      </c>
      <c r="D365" s="241">
        <f>ROUNDDOWN((F365*G365),0)</f>
        <v>772</v>
      </c>
      <c r="F365" s="200">
        <v>0.8</v>
      </c>
      <c r="G365" s="201">
        <f>G364</f>
        <v>966</v>
      </c>
    </row>
    <row r="366" spans="1:7" ht="23.25" thickTop="1" x14ac:dyDescent="0.35">
      <c r="A366" s="247" t="s">
        <v>85</v>
      </c>
      <c r="B366" s="248"/>
      <c r="C366" s="249">
        <v>1</v>
      </c>
      <c r="D366" s="250">
        <f>D362+100</f>
        <v>1307</v>
      </c>
    </row>
    <row r="367" spans="1:7" x14ac:dyDescent="0.35">
      <c r="A367" s="242" t="s">
        <v>83</v>
      </c>
      <c r="B367" s="243"/>
      <c r="C367" s="240">
        <v>2</v>
      </c>
      <c r="D367" s="241">
        <f>D363+100</f>
        <v>1066</v>
      </c>
      <c r="E367" s="202"/>
      <c r="F367" s="204">
        <f>F357</f>
        <v>138</v>
      </c>
    </row>
    <row r="368" spans="1:7" x14ac:dyDescent="0.35">
      <c r="A368" s="242" t="s">
        <v>84</v>
      </c>
      <c r="B368" s="243"/>
      <c r="C368" s="251">
        <v>3</v>
      </c>
      <c r="D368" s="252">
        <f>D364+100</f>
        <v>969</v>
      </c>
    </row>
    <row r="369" spans="1:7" x14ac:dyDescent="0.35">
      <c r="A369" s="242"/>
      <c r="B369" s="243"/>
      <c r="C369" s="240">
        <v>4</v>
      </c>
      <c r="D369" s="241">
        <f>D365+100</f>
        <v>872</v>
      </c>
    </row>
    <row r="370" spans="1:7" ht="23.25" thickBot="1" x14ac:dyDescent="0.4"/>
    <row r="371" spans="1:7" ht="23.25" thickBot="1" x14ac:dyDescent="0.4">
      <c r="A371" s="230" t="s">
        <v>37</v>
      </c>
      <c r="B371" s="231"/>
      <c r="C371" s="232" t="s">
        <v>111</v>
      </c>
      <c r="D371" s="233" t="s">
        <v>113</v>
      </c>
      <c r="E371" s="197"/>
      <c r="F371" s="197"/>
      <c r="G371" s="198"/>
    </row>
    <row r="372" spans="1:7" x14ac:dyDescent="0.35">
      <c r="A372" s="234">
        <f>'Stove Oil Prices'!E39</f>
        <v>6.56</v>
      </c>
      <c r="B372" s="235" t="s">
        <v>112</v>
      </c>
      <c r="C372" s="236">
        <v>1</v>
      </c>
      <c r="D372" s="237">
        <f>ROUNDDOWN((F372*G372),0)</f>
        <v>1131</v>
      </c>
      <c r="F372" s="200">
        <v>1.25</v>
      </c>
      <c r="G372" s="201">
        <f>ROUNDDOWN(A372*F377,0)</f>
        <v>905</v>
      </c>
    </row>
    <row r="373" spans="1:7" x14ac:dyDescent="0.35">
      <c r="A373" s="238"/>
      <c r="B373" s="239"/>
      <c r="C373" s="240">
        <v>2</v>
      </c>
      <c r="D373" s="241">
        <f>ROUNDDOWN((F373*G373),0)</f>
        <v>905</v>
      </c>
      <c r="F373" s="200">
        <v>1</v>
      </c>
      <c r="G373" s="201">
        <f>G372</f>
        <v>905</v>
      </c>
    </row>
    <row r="374" spans="1:7" x14ac:dyDescent="0.35">
      <c r="A374" s="242"/>
      <c r="B374" s="243"/>
      <c r="C374" s="244">
        <v>3</v>
      </c>
      <c r="D374" s="245">
        <f>ROUNDDOWN((F374*G374),0)</f>
        <v>814</v>
      </c>
      <c r="F374" s="200">
        <v>0.9</v>
      </c>
      <c r="G374" s="201">
        <f>G373</f>
        <v>905</v>
      </c>
    </row>
    <row r="375" spans="1:7" ht="23.25" thickBot="1" x14ac:dyDescent="0.4">
      <c r="A375" s="238"/>
      <c r="B375" s="246"/>
      <c r="C375" s="240">
        <v>4</v>
      </c>
      <c r="D375" s="241">
        <f>ROUNDDOWN((F375*G375),0)</f>
        <v>724</v>
      </c>
      <c r="F375" s="200">
        <v>0.8</v>
      </c>
      <c r="G375" s="201">
        <f>G374</f>
        <v>905</v>
      </c>
    </row>
    <row r="376" spans="1:7" ht="23.25" thickTop="1" x14ac:dyDescent="0.35">
      <c r="A376" s="247" t="s">
        <v>85</v>
      </c>
      <c r="B376" s="248"/>
      <c r="C376" s="249">
        <v>1</v>
      </c>
      <c r="D376" s="250">
        <f>D372+100</f>
        <v>1231</v>
      </c>
    </row>
    <row r="377" spans="1:7" x14ac:dyDescent="0.35">
      <c r="A377" s="242" t="s">
        <v>83</v>
      </c>
      <c r="B377" s="243"/>
      <c r="C377" s="240">
        <v>2</v>
      </c>
      <c r="D377" s="241">
        <f>D373+100</f>
        <v>1005</v>
      </c>
      <c r="F377" s="204">
        <f>F367</f>
        <v>138</v>
      </c>
      <c r="G377" s="205"/>
    </row>
    <row r="378" spans="1:7" x14ac:dyDescent="0.35">
      <c r="A378" s="242" t="s">
        <v>84</v>
      </c>
      <c r="B378" s="243"/>
      <c r="C378" s="251">
        <v>3</v>
      </c>
      <c r="D378" s="252">
        <f>D374+100</f>
        <v>914</v>
      </c>
    </row>
    <row r="379" spans="1:7" x14ac:dyDescent="0.35">
      <c r="A379" s="242"/>
      <c r="B379" s="243"/>
      <c r="C379" s="240">
        <v>4</v>
      </c>
      <c r="D379" s="241">
        <f>D375+100</f>
        <v>824</v>
      </c>
    </row>
    <row r="380" spans="1:7" ht="23.25" thickBot="1" x14ac:dyDescent="0.4"/>
    <row r="381" spans="1:7" ht="23.25" thickBot="1" x14ac:dyDescent="0.4">
      <c r="A381" s="230" t="s">
        <v>38</v>
      </c>
      <c r="B381" s="231"/>
      <c r="C381" s="232" t="s">
        <v>111</v>
      </c>
      <c r="D381" s="233" t="s">
        <v>113</v>
      </c>
      <c r="E381" s="197"/>
      <c r="F381" s="197"/>
      <c r="G381" s="198"/>
    </row>
    <row r="382" spans="1:7" x14ac:dyDescent="0.35">
      <c r="A382" s="234">
        <f>'Stove Oil Prices'!E40</f>
        <v>6</v>
      </c>
      <c r="B382" s="235" t="s">
        <v>112</v>
      </c>
      <c r="C382" s="236">
        <v>1</v>
      </c>
      <c r="D382" s="237">
        <f>ROUNDDOWN((F382*G382),0)</f>
        <v>1035</v>
      </c>
      <c r="F382" s="200">
        <v>1.25</v>
      </c>
      <c r="G382" s="201">
        <f>ROUNDDOWN(A382*F387,0)</f>
        <v>828</v>
      </c>
    </row>
    <row r="383" spans="1:7" x14ac:dyDescent="0.35">
      <c r="A383" s="238"/>
      <c r="B383" s="239"/>
      <c r="C383" s="240">
        <v>2</v>
      </c>
      <c r="D383" s="241">
        <f>ROUNDDOWN((F383*G383),0)</f>
        <v>828</v>
      </c>
      <c r="F383" s="200">
        <v>1</v>
      </c>
      <c r="G383" s="201">
        <f>G382</f>
        <v>828</v>
      </c>
    </row>
    <row r="384" spans="1:7" x14ac:dyDescent="0.35">
      <c r="A384" s="242"/>
      <c r="B384" s="243"/>
      <c r="C384" s="244">
        <v>3</v>
      </c>
      <c r="D384" s="245">
        <f>ROUNDDOWN((F384*G384),0)</f>
        <v>745</v>
      </c>
      <c r="F384" s="200">
        <v>0.9</v>
      </c>
      <c r="G384" s="201">
        <f>G383</f>
        <v>828</v>
      </c>
    </row>
    <row r="385" spans="1:7" ht="23.25" thickBot="1" x14ac:dyDescent="0.4">
      <c r="A385" s="238"/>
      <c r="B385" s="246"/>
      <c r="C385" s="240">
        <v>4</v>
      </c>
      <c r="D385" s="241">
        <f>ROUNDDOWN((F385*G385),0)</f>
        <v>662</v>
      </c>
      <c r="F385" s="200">
        <v>0.8</v>
      </c>
      <c r="G385" s="201">
        <f>G384</f>
        <v>828</v>
      </c>
    </row>
    <row r="386" spans="1:7" ht="23.25" thickTop="1" x14ac:dyDescent="0.35">
      <c r="A386" s="247" t="s">
        <v>85</v>
      </c>
      <c r="B386" s="248"/>
      <c r="C386" s="249">
        <v>1</v>
      </c>
      <c r="D386" s="250">
        <f>D382+100</f>
        <v>1135</v>
      </c>
    </row>
    <row r="387" spans="1:7" x14ac:dyDescent="0.35">
      <c r="A387" s="242" t="s">
        <v>83</v>
      </c>
      <c r="B387" s="243"/>
      <c r="C387" s="240">
        <v>2</v>
      </c>
      <c r="D387" s="241">
        <f>D383+100</f>
        <v>928</v>
      </c>
      <c r="F387" s="204">
        <f>F377</f>
        <v>138</v>
      </c>
      <c r="G387" s="205"/>
    </row>
    <row r="388" spans="1:7" x14ac:dyDescent="0.35">
      <c r="A388" s="242" t="s">
        <v>84</v>
      </c>
      <c r="B388" s="243"/>
      <c r="C388" s="251">
        <v>3</v>
      </c>
      <c r="D388" s="252">
        <f>D384+100</f>
        <v>845</v>
      </c>
    </row>
    <row r="389" spans="1:7" x14ac:dyDescent="0.35">
      <c r="A389" s="242"/>
      <c r="B389" s="243"/>
      <c r="C389" s="240">
        <v>4</v>
      </c>
      <c r="D389" s="241">
        <f>D385+100</f>
        <v>762</v>
      </c>
    </row>
    <row r="390" spans="1:7" ht="23.25" thickBot="1" x14ac:dyDescent="0.4"/>
    <row r="391" spans="1:7" ht="23.25" thickBot="1" x14ac:dyDescent="0.4">
      <c r="A391" s="230" t="s">
        <v>39</v>
      </c>
      <c r="B391" s="231"/>
      <c r="C391" s="232" t="s">
        <v>111</v>
      </c>
      <c r="D391" s="233" t="s">
        <v>113</v>
      </c>
      <c r="E391" s="197"/>
      <c r="F391" s="197"/>
      <c r="G391" s="198"/>
    </row>
    <row r="392" spans="1:7" x14ac:dyDescent="0.35">
      <c r="A392" s="234">
        <f>'Stove Oil Prices'!E41</f>
        <v>4.75</v>
      </c>
      <c r="B392" s="235" t="s">
        <v>112</v>
      </c>
      <c r="C392" s="236">
        <v>1</v>
      </c>
      <c r="D392" s="237">
        <f>ROUNDDOWN((F392*G392),0)</f>
        <v>818</v>
      </c>
      <c r="F392" s="200">
        <v>1.25</v>
      </c>
      <c r="G392" s="201">
        <f>ROUNDDOWN(A392*F397,0)</f>
        <v>655</v>
      </c>
    </row>
    <row r="393" spans="1:7" x14ac:dyDescent="0.35">
      <c r="A393" s="238"/>
      <c r="B393" s="239"/>
      <c r="C393" s="240">
        <v>2</v>
      </c>
      <c r="D393" s="241">
        <f>ROUNDDOWN((F393*G393),0)</f>
        <v>655</v>
      </c>
      <c r="F393" s="200">
        <v>1</v>
      </c>
      <c r="G393" s="201">
        <f>G392</f>
        <v>655</v>
      </c>
    </row>
    <row r="394" spans="1:7" x14ac:dyDescent="0.35">
      <c r="A394" s="242"/>
      <c r="B394" s="243"/>
      <c r="C394" s="244">
        <v>3</v>
      </c>
      <c r="D394" s="245">
        <f>ROUNDDOWN((F394*G394),0)</f>
        <v>589</v>
      </c>
      <c r="F394" s="200">
        <v>0.9</v>
      </c>
      <c r="G394" s="201">
        <f>G393</f>
        <v>655</v>
      </c>
    </row>
    <row r="395" spans="1:7" ht="23.25" thickBot="1" x14ac:dyDescent="0.4">
      <c r="A395" s="238"/>
      <c r="B395" s="246"/>
      <c r="C395" s="240">
        <v>4</v>
      </c>
      <c r="D395" s="241">
        <f>ROUNDDOWN((F395*G395),0)</f>
        <v>524</v>
      </c>
      <c r="F395" s="200">
        <v>0.8</v>
      </c>
      <c r="G395" s="201">
        <f>G394</f>
        <v>655</v>
      </c>
    </row>
    <row r="396" spans="1:7" ht="23.25" thickTop="1" x14ac:dyDescent="0.35">
      <c r="A396" s="247" t="s">
        <v>85</v>
      </c>
      <c r="B396" s="248"/>
      <c r="C396" s="249">
        <v>1</v>
      </c>
      <c r="D396" s="250">
        <f>D392+100</f>
        <v>918</v>
      </c>
    </row>
    <row r="397" spans="1:7" x14ac:dyDescent="0.35">
      <c r="A397" s="242" t="s">
        <v>83</v>
      </c>
      <c r="B397" s="243"/>
      <c r="C397" s="240">
        <v>2</v>
      </c>
      <c r="D397" s="241">
        <f>D393+100</f>
        <v>755</v>
      </c>
      <c r="F397" s="204">
        <f>F387</f>
        <v>138</v>
      </c>
      <c r="G397" s="205"/>
    </row>
    <row r="398" spans="1:7" x14ac:dyDescent="0.35">
      <c r="A398" s="242" t="s">
        <v>84</v>
      </c>
      <c r="B398" s="243"/>
      <c r="C398" s="251">
        <v>3</v>
      </c>
      <c r="D398" s="252">
        <f>D394+100</f>
        <v>689</v>
      </c>
    </row>
    <row r="399" spans="1:7" x14ac:dyDescent="0.35">
      <c r="A399" s="242"/>
      <c r="B399" s="243"/>
      <c r="C399" s="240">
        <v>4</v>
      </c>
      <c r="D399" s="241">
        <f>D395+100</f>
        <v>624</v>
      </c>
    </row>
    <row r="400" spans="1:7" ht="23.25" thickBot="1" x14ac:dyDescent="0.4"/>
    <row r="401" spans="1:7" ht="23.25" thickBot="1" x14ac:dyDescent="0.4">
      <c r="A401" s="230" t="s">
        <v>40</v>
      </c>
      <c r="B401" s="231"/>
      <c r="C401" s="232" t="s">
        <v>111</v>
      </c>
      <c r="D401" s="233" t="s">
        <v>113</v>
      </c>
      <c r="E401" s="197"/>
      <c r="F401" s="197"/>
      <c r="G401" s="198"/>
    </row>
    <row r="402" spans="1:7" x14ac:dyDescent="0.35">
      <c r="A402" s="234">
        <f>'Stove Oil Prices'!E42</f>
        <v>4.75</v>
      </c>
      <c r="B402" s="235" t="s">
        <v>112</v>
      </c>
      <c r="C402" s="236">
        <v>1</v>
      </c>
      <c r="D402" s="237">
        <f>ROUNDDOWN((F402*G402),0)</f>
        <v>818</v>
      </c>
      <c r="F402" s="200">
        <v>1.25</v>
      </c>
      <c r="G402" s="201">
        <f>ROUNDDOWN(A402*F407,0)</f>
        <v>655</v>
      </c>
    </row>
    <row r="403" spans="1:7" x14ac:dyDescent="0.35">
      <c r="A403" s="238"/>
      <c r="B403" s="239"/>
      <c r="C403" s="240">
        <v>2</v>
      </c>
      <c r="D403" s="241">
        <f>ROUNDDOWN((F403*G403),0)</f>
        <v>655</v>
      </c>
      <c r="F403" s="200">
        <v>1</v>
      </c>
      <c r="G403" s="201">
        <f>G402</f>
        <v>655</v>
      </c>
    </row>
    <row r="404" spans="1:7" x14ac:dyDescent="0.35">
      <c r="A404" s="242"/>
      <c r="B404" s="243"/>
      <c r="C404" s="244">
        <v>3</v>
      </c>
      <c r="D404" s="245">
        <f>ROUNDDOWN((F404*G404),0)</f>
        <v>589</v>
      </c>
      <c r="F404" s="200">
        <v>0.9</v>
      </c>
      <c r="G404" s="201">
        <f>G403</f>
        <v>655</v>
      </c>
    </row>
    <row r="405" spans="1:7" ht="23.25" thickBot="1" x14ac:dyDescent="0.4">
      <c r="A405" s="238"/>
      <c r="B405" s="246"/>
      <c r="C405" s="240">
        <v>4</v>
      </c>
      <c r="D405" s="241">
        <f>ROUNDDOWN((F405*G405),0)</f>
        <v>524</v>
      </c>
      <c r="F405" s="200">
        <v>0.8</v>
      </c>
      <c r="G405" s="201">
        <f>G404</f>
        <v>655</v>
      </c>
    </row>
    <row r="406" spans="1:7" ht="23.25" thickTop="1" x14ac:dyDescent="0.35">
      <c r="A406" s="247" t="s">
        <v>85</v>
      </c>
      <c r="B406" s="248"/>
      <c r="C406" s="249">
        <v>1</v>
      </c>
      <c r="D406" s="250">
        <f>D402+100</f>
        <v>918</v>
      </c>
    </row>
    <row r="407" spans="1:7" x14ac:dyDescent="0.35">
      <c r="A407" s="242" t="s">
        <v>83</v>
      </c>
      <c r="B407" s="243"/>
      <c r="C407" s="240">
        <v>2</v>
      </c>
      <c r="D407" s="241">
        <f>D403+100</f>
        <v>755</v>
      </c>
      <c r="F407" s="204">
        <f>F397</f>
        <v>138</v>
      </c>
      <c r="G407" s="205"/>
    </row>
    <row r="408" spans="1:7" x14ac:dyDescent="0.35">
      <c r="A408" s="242" t="s">
        <v>84</v>
      </c>
      <c r="B408" s="243"/>
      <c r="C408" s="251">
        <v>3</v>
      </c>
      <c r="D408" s="252">
        <f>D404+100</f>
        <v>689</v>
      </c>
    </row>
    <row r="409" spans="1:7" x14ac:dyDescent="0.35">
      <c r="A409" s="242"/>
      <c r="B409" s="243"/>
      <c r="C409" s="240">
        <v>4</v>
      </c>
      <c r="D409" s="241">
        <f>D405+100</f>
        <v>624</v>
      </c>
    </row>
    <row r="410" spans="1:7" ht="23.25" thickBot="1" x14ac:dyDescent="0.4"/>
    <row r="411" spans="1:7" s="197" customFormat="1" ht="23.25" thickBot="1" x14ac:dyDescent="0.4">
      <c r="A411" s="230" t="s">
        <v>114</v>
      </c>
      <c r="B411" s="231"/>
      <c r="C411" s="232" t="s">
        <v>111</v>
      </c>
      <c r="D411" s="233" t="s">
        <v>113</v>
      </c>
      <c r="G411" s="198"/>
    </row>
    <row r="412" spans="1:7" x14ac:dyDescent="0.35">
      <c r="A412" s="234">
        <f>'Stove Oil Prices'!E43</f>
        <v>5.7</v>
      </c>
      <c r="B412" s="235" t="s">
        <v>112</v>
      </c>
      <c r="C412" s="236">
        <v>1</v>
      </c>
      <c r="D412" s="237">
        <f>ROUNDDOWN((F412*G412),0)</f>
        <v>982</v>
      </c>
      <c r="F412" s="200">
        <v>1.25</v>
      </c>
      <c r="G412" s="201">
        <f>ROUNDDOWN(A412*F417,0)</f>
        <v>786</v>
      </c>
    </row>
    <row r="413" spans="1:7" x14ac:dyDescent="0.35">
      <c r="A413" s="238"/>
      <c r="B413" s="239"/>
      <c r="C413" s="240">
        <v>2</v>
      </c>
      <c r="D413" s="241">
        <f>ROUNDDOWN((F413*G413),0)</f>
        <v>786</v>
      </c>
      <c r="F413" s="200">
        <v>1</v>
      </c>
      <c r="G413" s="201">
        <f>G412</f>
        <v>786</v>
      </c>
    </row>
    <row r="414" spans="1:7" x14ac:dyDescent="0.35">
      <c r="A414" s="242"/>
      <c r="B414" s="243"/>
      <c r="C414" s="244">
        <v>3</v>
      </c>
      <c r="D414" s="245">
        <f>ROUNDDOWN((F414*G414),0)</f>
        <v>707</v>
      </c>
      <c r="F414" s="200">
        <v>0.9</v>
      </c>
      <c r="G414" s="201">
        <f>G413</f>
        <v>786</v>
      </c>
    </row>
    <row r="415" spans="1:7" ht="23.25" thickBot="1" x14ac:dyDescent="0.4">
      <c r="A415" s="238"/>
      <c r="B415" s="246"/>
      <c r="C415" s="240">
        <v>4</v>
      </c>
      <c r="D415" s="241">
        <f>ROUNDDOWN((F415*G415),0)</f>
        <v>628</v>
      </c>
      <c r="F415" s="200">
        <v>0.8</v>
      </c>
      <c r="G415" s="201">
        <f>G414</f>
        <v>786</v>
      </c>
    </row>
    <row r="416" spans="1:7" ht="23.25" thickTop="1" x14ac:dyDescent="0.35">
      <c r="A416" s="247" t="s">
        <v>85</v>
      </c>
      <c r="B416" s="248"/>
      <c r="C416" s="249">
        <v>1</v>
      </c>
      <c r="D416" s="250">
        <f>D412+100</f>
        <v>1082</v>
      </c>
    </row>
    <row r="417" spans="1:6" x14ac:dyDescent="0.35">
      <c r="A417" s="242" t="s">
        <v>83</v>
      </c>
      <c r="B417" s="243"/>
      <c r="C417" s="240">
        <v>2</v>
      </c>
      <c r="D417" s="241">
        <f>D413+100</f>
        <v>886</v>
      </c>
      <c r="F417" s="204">
        <f>F177</f>
        <v>138</v>
      </c>
    </row>
    <row r="418" spans="1:6" x14ac:dyDescent="0.35">
      <c r="A418" s="242" t="s">
        <v>84</v>
      </c>
      <c r="B418" s="243"/>
      <c r="C418" s="251">
        <v>3</v>
      </c>
      <c r="D418" s="252">
        <f>D414+100</f>
        <v>807</v>
      </c>
    </row>
    <row r="419" spans="1:6" x14ac:dyDescent="0.35">
      <c r="A419" s="242"/>
      <c r="B419" s="243"/>
      <c r="C419" s="240">
        <v>4</v>
      </c>
      <c r="D419" s="241">
        <f>D415+100</f>
        <v>728</v>
      </c>
    </row>
  </sheetData>
  <pageMargins left="0.7" right="0.7" top="0.75" bottom="0.75" header="0.3" footer="0.3"/>
  <pageSetup scale="89" fitToWidth="0" orientation="portrait" r:id="rId1"/>
  <headerFooter alignWithMargins="0">
    <oddHeader>&amp;L&amp;16FY 2020&amp;C&amp;18PAYMENT MATRIX</oddHeader>
  </headerFooter>
  <rowBreaks count="13" manualBreakCount="13">
    <brk id="30" max="5" man="1"/>
    <brk id="60" max="5" man="1"/>
    <brk id="90" max="5" man="1"/>
    <brk id="120" max="5" man="1"/>
    <brk id="150" max="5" man="1"/>
    <brk id="180" max="5" man="1"/>
    <brk id="210" max="5" man="1"/>
    <brk id="240" max="5" man="1"/>
    <brk id="270" max="5" man="1"/>
    <brk id="300" max="5" man="1"/>
    <brk id="330" max="5" man="1"/>
    <brk id="360" max="5" man="1"/>
    <brk id="390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  <pageSetUpPr fitToPage="1"/>
  </sheetPr>
  <dimension ref="A1:J45"/>
  <sheetViews>
    <sheetView zoomScaleNormal="100" zoomScaleSheetLayoutView="100" workbookViewId="0"/>
  </sheetViews>
  <sheetFormatPr defaultColWidth="9.140625" defaultRowHeight="12.75" x14ac:dyDescent="0.2"/>
  <cols>
    <col min="1" max="1" width="15.140625" style="45" bestFit="1" customWidth="1"/>
    <col min="2" max="2" width="9.85546875" style="13" bestFit="1" customWidth="1"/>
    <col min="3" max="3" width="6.85546875" style="37" bestFit="1" customWidth="1"/>
    <col min="4" max="4" width="12.42578125" style="37" bestFit="1" customWidth="1"/>
    <col min="5" max="5" width="9" style="46" bestFit="1" customWidth="1"/>
    <col min="6" max="6" width="7.7109375" style="13" customWidth="1"/>
    <col min="7" max="7" width="6.7109375" style="13" bestFit="1" customWidth="1"/>
    <col min="8" max="8" width="13.42578125" style="38" bestFit="1" customWidth="1"/>
    <col min="9" max="9" width="11.85546875" style="38" bestFit="1" customWidth="1"/>
    <col min="10" max="16384" width="9.140625" style="13"/>
  </cols>
  <sheetData>
    <row r="1" spans="1:9" ht="25.5" x14ac:dyDescent="0.2">
      <c r="A1" s="42" t="s">
        <v>51</v>
      </c>
      <c r="B1" s="43" t="s">
        <v>61</v>
      </c>
      <c r="C1" s="32" t="s">
        <v>62</v>
      </c>
      <c r="D1" s="33" t="s">
        <v>63</v>
      </c>
      <c r="E1" s="34" t="s">
        <v>64</v>
      </c>
      <c r="F1" s="44" t="s">
        <v>65</v>
      </c>
      <c r="G1" s="43" t="s">
        <v>66</v>
      </c>
      <c r="H1" s="92" t="s">
        <v>80</v>
      </c>
      <c r="I1" s="93" t="s">
        <v>79</v>
      </c>
    </row>
    <row r="2" spans="1:9" x14ac:dyDescent="0.2">
      <c r="A2" s="42" t="s">
        <v>5</v>
      </c>
      <c r="B2" s="52">
        <v>627</v>
      </c>
      <c r="C2" s="257">
        <f>E45</f>
        <v>5.6224047619047619</v>
      </c>
      <c r="D2" s="51">
        <f t="shared" ref="D2:D43" si="0">B2*C2</f>
        <v>3525.2477857142858</v>
      </c>
      <c r="E2" s="140">
        <f>'Stove Oil Prices'!E2</f>
        <v>5.08</v>
      </c>
      <c r="F2" s="47">
        <v>50</v>
      </c>
      <c r="G2" s="50">
        <f t="shared" ref="G2:G43" si="1">B2*0.06</f>
        <v>37.619999999999997</v>
      </c>
      <c r="H2" s="49">
        <f t="shared" ref="H2:H43" si="2">E2*F2*G2</f>
        <v>9555.48</v>
      </c>
      <c r="I2" s="36">
        <f t="shared" ref="I2:I43" si="3">H2-D2</f>
        <v>6030.2322142857138</v>
      </c>
    </row>
    <row r="3" spans="1:9" x14ac:dyDescent="0.2">
      <c r="A3" s="42" t="s">
        <v>6</v>
      </c>
      <c r="B3" s="52">
        <v>346</v>
      </c>
      <c r="C3" s="257">
        <f>C2</f>
        <v>5.6224047619047619</v>
      </c>
      <c r="D3" s="51">
        <f t="shared" si="0"/>
        <v>1945.3520476190477</v>
      </c>
      <c r="E3" s="140">
        <f>'Stove Oil Prices'!E3</f>
        <v>4.78</v>
      </c>
      <c r="F3" s="47">
        <f t="shared" ref="F3:F11" si="4">F2</f>
        <v>50</v>
      </c>
      <c r="G3" s="50">
        <f t="shared" si="1"/>
        <v>20.759999999999998</v>
      </c>
      <c r="H3" s="35">
        <f t="shared" si="2"/>
        <v>4961.6399999999994</v>
      </c>
      <c r="I3" s="36">
        <f t="shared" si="3"/>
        <v>3016.2879523809515</v>
      </c>
    </row>
    <row r="4" spans="1:9" x14ac:dyDescent="0.2">
      <c r="A4" s="42" t="s">
        <v>7</v>
      </c>
      <c r="B4" s="52">
        <v>677</v>
      </c>
      <c r="C4" s="48">
        <f t="shared" ref="C4:C43" si="5">C3</f>
        <v>5.6224047619047619</v>
      </c>
      <c r="D4" s="51">
        <f t="shared" si="0"/>
        <v>3806.3680238095239</v>
      </c>
      <c r="E4" s="141">
        <f>'Stove Oil Prices'!E4</f>
        <v>5.7</v>
      </c>
      <c r="F4" s="47">
        <f t="shared" si="4"/>
        <v>50</v>
      </c>
      <c r="G4" s="50">
        <f t="shared" si="1"/>
        <v>40.619999999999997</v>
      </c>
      <c r="H4" s="35">
        <f t="shared" si="2"/>
        <v>11576.699999999999</v>
      </c>
      <c r="I4" s="36">
        <f t="shared" si="3"/>
        <v>7770.331976190475</v>
      </c>
    </row>
    <row r="5" spans="1:9" x14ac:dyDescent="0.2">
      <c r="A5" s="42" t="s">
        <v>8</v>
      </c>
      <c r="B5" s="52">
        <v>277</v>
      </c>
      <c r="C5" s="48">
        <f t="shared" si="5"/>
        <v>5.6224047619047619</v>
      </c>
      <c r="D5" s="51">
        <f t="shared" si="0"/>
        <v>1557.4061190476191</v>
      </c>
      <c r="E5" s="140">
        <f>'Stove Oil Prices'!E5</f>
        <v>5.2</v>
      </c>
      <c r="F5" s="47">
        <f t="shared" si="4"/>
        <v>50</v>
      </c>
      <c r="G5" s="50">
        <f t="shared" si="1"/>
        <v>16.62</v>
      </c>
      <c r="H5" s="35">
        <f t="shared" si="2"/>
        <v>4321.2</v>
      </c>
      <c r="I5" s="36">
        <f t="shared" si="3"/>
        <v>2763.7938809523807</v>
      </c>
    </row>
    <row r="6" spans="1:9" x14ac:dyDescent="0.2">
      <c r="A6" s="42" t="s">
        <v>9</v>
      </c>
      <c r="B6" s="52">
        <v>418</v>
      </c>
      <c r="C6" s="48">
        <f t="shared" si="5"/>
        <v>5.6224047619047619</v>
      </c>
      <c r="D6" s="51">
        <f t="shared" si="0"/>
        <v>2350.1651904761907</v>
      </c>
      <c r="E6" s="141">
        <f>'Stove Oil Prices'!E6</f>
        <v>5.45</v>
      </c>
      <c r="F6" s="47">
        <f t="shared" si="4"/>
        <v>50</v>
      </c>
      <c r="G6" s="50">
        <f t="shared" si="1"/>
        <v>25.08</v>
      </c>
      <c r="H6" s="35">
        <f t="shared" si="2"/>
        <v>6834.2999999999993</v>
      </c>
      <c r="I6" s="36">
        <f t="shared" si="3"/>
        <v>4484.1348095238081</v>
      </c>
    </row>
    <row r="7" spans="1:9" x14ac:dyDescent="0.2">
      <c r="A7" s="42" t="s">
        <v>10</v>
      </c>
      <c r="B7" s="52">
        <v>938</v>
      </c>
      <c r="C7" s="48">
        <f t="shared" si="5"/>
        <v>5.6224047619047619</v>
      </c>
      <c r="D7" s="51">
        <f t="shared" si="0"/>
        <v>5273.8156666666664</v>
      </c>
      <c r="E7" s="140">
        <f>'Stove Oil Prices'!E7</f>
        <v>5.35</v>
      </c>
      <c r="F7" s="47">
        <f t="shared" si="4"/>
        <v>50</v>
      </c>
      <c r="G7" s="50">
        <f t="shared" si="1"/>
        <v>56.28</v>
      </c>
      <c r="H7" s="35">
        <f t="shared" si="2"/>
        <v>15054.9</v>
      </c>
      <c r="I7" s="36">
        <f t="shared" si="3"/>
        <v>9781.0843333333323</v>
      </c>
    </row>
    <row r="8" spans="1:9" x14ac:dyDescent="0.2">
      <c r="A8" s="42" t="s">
        <v>11</v>
      </c>
      <c r="B8" s="52">
        <v>296</v>
      </c>
      <c r="C8" s="48">
        <f t="shared" si="5"/>
        <v>5.6224047619047619</v>
      </c>
      <c r="D8" s="51">
        <f t="shared" si="0"/>
        <v>1664.2318095238095</v>
      </c>
      <c r="E8" s="140">
        <f>'Stove Oil Prices'!E8</f>
        <v>5.9</v>
      </c>
      <c r="F8" s="47">
        <f t="shared" si="4"/>
        <v>50</v>
      </c>
      <c r="G8" s="50">
        <f t="shared" si="1"/>
        <v>17.759999999999998</v>
      </c>
      <c r="H8" s="35">
        <f t="shared" si="2"/>
        <v>5239.2</v>
      </c>
      <c r="I8" s="36">
        <f t="shared" si="3"/>
        <v>3574.9681904761901</v>
      </c>
    </row>
    <row r="9" spans="1:9" x14ac:dyDescent="0.2">
      <c r="A9" s="42" t="s">
        <v>12</v>
      </c>
      <c r="B9" s="52">
        <v>762</v>
      </c>
      <c r="C9" s="48">
        <f t="shared" si="5"/>
        <v>5.6224047619047619</v>
      </c>
      <c r="D9" s="51">
        <f t="shared" si="0"/>
        <v>4284.2724285714285</v>
      </c>
      <c r="E9" s="140">
        <f>'Stove Oil Prices'!E9</f>
        <v>6.11</v>
      </c>
      <c r="F9" s="47">
        <f t="shared" si="4"/>
        <v>50</v>
      </c>
      <c r="G9" s="50">
        <f t="shared" si="1"/>
        <v>45.72</v>
      </c>
      <c r="H9" s="35">
        <f t="shared" si="2"/>
        <v>13967.46</v>
      </c>
      <c r="I9" s="36">
        <f t="shared" si="3"/>
        <v>9683.1875714285707</v>
      </c>
    </row>
    <row r="10" spans="1:9" x14ac:dyDescent="0.2">
      <c r="A10" s="42" t="s">
        <v>13</v>
      </c>
      <c r="B10" s="52">
        <v>243</v>
      </c>
      <c r="C10" s="48">
        <f t="shared" si="5"/>
        <v>5.6224047619047619</v>
      </c>
      <c r="D10" s="51">
        <f t="shared" si="0"/>
        <v>1366.2443571428571</v>
      </c>
      <c r="E10" s="140">
        <f>'Stove Oil Prices'!E10</f>
        <v>4</v>
      </c>
      <c r="F10" s="47">
        <f t="shared" si="4"/>
        <v>50</v>
      </c>
      <c r="G10" s="50">
        <f t="shared" si="1"/>
        <v>14.58</v>
      </c>
      <c r="H10" s="35">
        <f t="shared" si="2"/>
        <v>2916</v>
      </c>
      <c r="I10" s="36">
        <f t="shared" si="3"/>
        <v>1549.7556428571429</v>
      </c>
    </row>
    <row r="11" spans="1:9" x14ac:dyDescent="0.2">
      <c r="A11" s="42" t="s">
        <v>14</v>
      </c>
      <c r="B11" s="52">
        <v>1093</v>
      </c>
      <c r="C11" s="48">
        <f t="shared" si="5"/>
        <v>5.6224047619047619</v>
      </c>
      <c r="D11" s="51">
        <f t="shared" si="0"/>
        <v>6145.2884047619045</v>
      </c>
      <c r="E11" s="140">
        <f>'Stove Oil Prices'!E11</f>
        <v>5.4390000000000001</v>
      </c>
      <c r="F11" s="47">
        <f t="shared" si="4"/>
        <v>50</v>
      </c>
      <c r="G11" s="50">
        <f t="shared" si="1"/>
        <v>65.58</v>
      </c>
      <c r="H11" s="35">
        <f t="shared" si="2"/>
        <v>17834.481</v>
      </c>
      <c r="I11" s="36">
        <f t="shared" si="3"/>
        <v>11689.192595238095</v>
      </c>
    </row>
    <row r="12" spans="1:9" x14ac:dyDescent="0.2">
      <c r="A12" s="42" t="s">
        <v>15</v>
      </c>
      <c r="B12" s="52">
        <v>569</v>
      </c>
      <c r="C12" s="48">
        <f t="shared" si="5"/>
        <v>5.6224047619047619</v>
      </c>
      <c r="D12" s="51">
        <f t="shared" si="0"/>
        <v>3199.1483095238095</v>
      </c>
      <c r="E12" s="141">
        <f>'Stove Oil Prices'!E12</f>
        <v>5.13</v>
      </c>
      <c r="F12" s="47">
        <f>F43</f>
        <v>50</v>
      </c>
      <c r="G12" s="50">
        <f t="shared" si="1"/>
        <v>34.14</v>
      </c>
      <c r="H12" s="35">
        <f t="shared" si="2"/>
        <v>8756.91</v>
      </c>
      <c r="I12" s="36">
        <f t="shared" si="3"/>
        <v>5557.7616904761908</v>
      </c>
    </row>
    <row r="13" spans="1:9" x14ac:dyDescent="0.2">
      <c r="A13" s="42" t="s">
        <v>16</v>
      </c>
      <c r="B13" s="52">
        <v>639</v>
      </c>
      <c r="C13" s="48">
        <f t="shared" si="5"/>
        <v>5.6224047619047619</v>
      </c>
      <c r="D13" s="51">
        <f t="shared" si="0"/>
        <v>3592.7166428571427</v>
      </c>
      <c r="E13" s="140">
        <f>'Stove Oil Prices'!E13</f>
        <v>5.3</v>
      </c>
      <c r="F13" s="47">
        <f t="shared" ref="F13:F18" si="6">F12</f>
        <v>50</v>
      </c>
      <c r="G13" s="50">
        <f t="shared" si="1"/>
        <v>38.339999999999996</v>
      </c>
      <c r="H13" s="35">
        <f t="shared" si="2"/>
        <v>10160.099999999999</v>
      </c>
      <c r="I13" s="36">
        <f t="shared" si="3"/>
        <v>6567.3833571428559</v>
      </c>
    </row>
    <row r="14" spans="1:9" x14ac:dyDescent="0.2">
      <c r="A14" s="42" t="s">
        <v>17</v>
      </c>
      <c r="B14" s="52">
        <v>439</v>
      </c>
      <c r="C14" s="48">
        <f t="shared" si="5"/>
        <v>5.6224047619047619</v>
      </c>
      <c r="D14" s="51">
        <f t="shared" si="0"/>
        <v>2468.2356904761905</v>
      </c>
      <c r="E14" s="141">
        <f>'Stove Oil Prices'!E14</f>
        <v>5.07</v>
      </c>
      <c r="F14" s="47">
        <f t="shared" si="6"/>
        <v>50</v>
      </c>
      <c r="G14" s="50">
        <f t="shared" si="1"/>
        <v>26.34</v>
      </c>
      <c r="H14" s="35">
        <f t="shared" si="2"/>
        <v>6677.19</v>
      </c>
      <c r="I14" s="36">
        <f t="shared" si="3"/>
        <v>4208.9543095238096</v>
      </c>
    </row>
    <row r="15" spans="1:9" x14ac:dyDescent="0.2">
      <c r="A15" s="42" t="s">
        <v>18</v>
      </c>
      <c r="B15" s="52">
        <v>577</v>
      </c>
      <c r="C15" s="48">
        <f t="shared" si="5"/>
        <v>5.6224047619047619</v>
      </c>
      <c r="D15" s="51">
        <f t="shared" si="0"/>
        <v>3244.1275476190476</v>
      </c>
      <c r="E15" s="140">
        <f>'Stove Oil Prices'!E15</f>
        <v>5.85</v>
      </c>
      <c r="F15" s="47">
        <f t="shared" si="6"/>
        <v>50</v>
      </c>
      <c r="G15" s="50">
        <f t="shared" si="1"/>
        <v>34.619999999999997</v>
      </c>
      <c r="H15" s="35">
        <f t="shared" si="2"/>
        <v>10126.349999999999</v>
      </c>
      <c r="I15" s="36">
        <f t="shared" si="3"/>
        <v>6882.2224523809509</v>
      </c>
    </row>
    <row r="16" spans="1:9" x14ac:dyDescent="0.2">
      <c r="A16" s="42" t="s">
        <v>19</v>
      </c>
      <c r="B16" s="52">
        <v>721</v>
      </c>
      <c r="C16" s="48">
        <f t="shared" si="5"/>
        <v>5.6224047619047619</v>
      </c>
      <c r="D16" s="51">
        <f t="shared" si="0"/>
        <v>4053.7538333333332</v>
      </c>
      <c r="E16" s="141">
        <f>'Stove Oil Prices'!E16</f>
        <v>5.56</v>
      </c>
      <c r="F16" s="47">
        <f t="shared" si="6"/>
        <v>50</v>
      </c>
      <c r="G16" s="50">
        <f t="shared" si="1"/>
        <v>43.26</v>
      </c>
      <c r="H16" s="35">
        <f t="shared" si="2"/>
        <v>12026.279999999999</v>
      </c>
      <c r="I16" s="36">
        <f t="shared" si="3"/>
        <v>7972.5261666666656</v>
      </c>
    </row>
    <row r="17" spans="1:10" x14ac:dyDescent="0.2">
      <c r="A17" s="42" t="s">
        <v>20</v>
      </c>
      <c r="B17" s="52">
        <v>321</v>
      </c>
      <c r="C17" s="48">
        <f t="shared" si="5"/>
        <v>5.6224047619047619</v>
      </c>
      <c r="D17" s="51">
        <f t="shared" si="0"/>
        <v>1804.7919285714286</v>
      </c>
      <c r="E17" s="140">
        <f>'Stove Oil Prices'!E17</f>
        <v>5.69</v>
      </c>
      <c r="F17" s="47">
        <f t="shared" si="6"/>
        <v>50</v>
      </c>
      <c r="G17" s="50">
        <f t="shared" si="1"/>
        <v>19.259999999999998</v>
      </c>
      <c r="H17" s="35">
        <f t="shared" si="2"/>
        <v>5479.4699999999993</v>
      </c>
      <c r="I17" s="36">
        <f t="shared" si="3"/>
        <v>3674.6780714285705</v>
      </c>
    </row>
    <row r="18" spans="1:10" x14ac:dyDescent="0.2">
      <c r="A18" s="42" t="s">
        <v>90</v>
      </c>
      <c r="B18" s="52">
        <v>29</v>
      </c>
      <c r="C18" s="48">
        <f t="shared" si="5"/>
        <v>5.6224047619047619</v>
      </c>
      <c r="D18" s="51">
        <f t="shared" si="0"/>
        <v>163.0497380952381</v>
      </c>
      <c r="E18" s="140">
        <f>'Stove Oil Prices'!E18</f>
        <v>7</v>
      </c>
      <c r="F18" s="47">
        <f t="shared" si="6"/>
        <v>50</v>
      </c>
      <c r="G18" s="50">
        <f t="shared" si="1"/>
        <v>1.74</v>
      </c>
      <c r="H18" s="35">
        <f t="shared" si="2"/>
        <v>609</v>
      </c>
      <c r="I18" s="36">
        <f t="shared" si="3"/>
        <v>445.95026190476187</v>
      </c>
    </row>
    <row r="19" spans="1:10" x14ac:dyDescent="0.2">
      <c r="A19" s="42" t="s">
        <v>99</v>
      </c>
      <c r="B19" s="52">
        <v>282</v>
      </c>
      <c r="C19" s="48">
        <f t="shared" si="5"/>
        <v>5.6224047619047619</v>
      </c>
      <c r="D19" s="51">
        <f t="shared" si="0"/>
        <v>1585.5181428571429</v>
      </c>
      <c r="E19" s="140">
        <f>'Stove Oil Prices'!E19</f>
        <v>5.7</v>
      </c>
      <c r="F19" s="47">
        <f>F11</f>
        <v>50</v>
      </c>
      <c r="G19" s="50">
        <f t="shared" si="1"/>
        <v>16.919999999999998</v>
      </c>
      <c r="H19" s="35">
        <f t="shared" si="2"/>
        <v>4822.2</v>
      </c>
      <c r="I19" s="36">
        <f t="shared" si="3"/>
        <v>3236.6818571428566</v>
      </c>
      <c r="J19" s="139"/>
    </row>
    <row r="20" spans="1:10" x14ac:dyDescent="0.2">
      <c r="A20" s="42" t="s">
        <v>21</v>
      </c>
      <c r="B20" s="52">
        <v>414</v>
      </c>
      <c r="C20" s="48">
        <f t="shared" si="5"/>
        <v>5.6224047619047619</v>
      </c>
      <c r="D20" s="51">
        <f t="shared" si="0"/>
        <v>2327.6755714285714</v>
      </c>
      <c r="E20" s="141">
        <f>'Stove Oil Prices'!E20</f>
        <v>6.01</v>
      </c>
      <c r="F20" s="47">
        <f>F18</f>
        <v>50</v>
      </c>
      <c r="G20" s="50">
        <f t="shared" si="1"/>
        <v>24.84</v>
      </c>
      <c r="H20" s="35">
        <f t="shared" si="2"/>
        <v>7464.42</v>
      </c>
      <c r="I20" s="36">
        <f t="shared" si="3"/>
        <v>5136.7444285714282</v>
      </c>
    </row>
    <row r="21" spans="1:10" x14ac:dyDescent="0.2">
      <c r="A21" s="42" t="s">
        <v>22</v>
      </c>
      <c r="B21" s="52">
        <v>191</v>
      </c>
      <c r="C21" s="48">
        <f t="shared" si="5"/>
        <v>5.6224047619047619</v>
      </c>
      <c r="D21" s="51">
        <f t="shared" si="0"/>
        <v>1073.8793095238095</v>
      </c>
      <c r="E21" s="140">
        <f>'Stove Oil Prices'!E21</f>
        <v>4.55</v>
      </c>
      <c r="F21" s="47">
        <f t="shared" ref="F21:F42" si="7">F20</f>
        <v>50</v>
      </c>
      <c r="G21" s="50">
        <f t="shared" si="1"/>
        <v>11.459999999999999</v>
      </c>
      <c r="H21" s="35">
        <f t="shared" si="2"/>
        <v>2607.1499999999996</v>
      </c>
      <c r="I21" s="36">
        <f t="shared" si="3"/>
        <v>1533.2706904761901</v>
      </c>
    </row>
    <row r="22" spans="1:10" x14ac:dyDescent="0.2">
      <c r="A22" s="42" t="s">
        <v>23</v>
      </c>
      <c r="B22" s="52">
        <v>813</v>
      </c>
      <c r="C22" s="48">
        <f t="shared" si="5"/>
        <v>5.6224047619047619</v>
      </c>
      <c r="D22" s="51">
        <f t="shared" si="0"/>
        <v>4571.015071428571</v>
      </c>
      <c r="E22" s="141">
        <f>'Stove Oil Prices'!E22</f>
        <v>6.01</v>
      </c>
      <c r="F22" s="47">
        <f t="shared" si="7"/>
        <v>50</v>
      </c>
      <c r="G22" s="50">
        <f t="shared" si="1"/>
        <v>48.78</v>
      </c>
      <c r="H22" s="35">
        <f t="shared" si="2"/>
        <v>14658.390000000001</v>
      </c>
      <c r="I22" s="36">
        <f t="shared" si="3"/>
        <v>10087.374928571429</v>
      </c>
    </row>
    <row r="23" spans="1:10" x14ac:dyDescent="0.2">
      <c r="A23" s="42" t="s">
        <v>24</v>
      </c>
      <c r="B23" s="52">
        <v>354</v>
      </c>
      <c r="C23" s="48">
        <f t="shared" si="5"/>
        <v>5.6224047619047619</v>
      </c>
      <c r="D23" s="51">
        <f t="shared" si="0"/>
        <v>1990.3312857142857</v>
      </c>
      <c r="E23" s="140">
        <f>'Stove Oil Prices'!E23</f>
        <v>5.33</v>
      </c>
      <c r="F23" s="47">
        <f t="shared" si="7"/>
        <v>50</v>
      </c>
      <c r="G23" s="50">
        <f t="shared" si="1"/>
        <v>21.24</v>
      </c>
      <c r="H23" s="35">
        <f t="shared" si="2"/>
        <v>5660.46</v>
      </c>
      <c r="I23" s="36">
        <f t="shared" si="3"/>
        <v>3670.1287142857145</v>
      </c>
    </row>
    <row r="24" spans="1:10" x14ac:dyDescent="0.2">
      <c r="A24" s="42" t="s">
        <v>25</v>
      </c>
      <c r="B24" s="52">
        <v>405</v>
      </c>
      <c r="C24" s="48">
        <f t="shared" si="5"/>
        <v>5.6224047619047619</v>
      </c>
      <c r="D24" s="51">
        <f t="shared" si="0"/>
        <v>2277.0739285714285</v>
      </c>
      <c r="E24" s="141">
        <f>'Stove Oil Prices'!E24</f>
        <v>6.85</v>
      </c>
      <c r="F24" s="47">
        <f t="shared" si="7"/>
        <v>50</v>
      </c>
      <c r="G24" s="50">
        <f t="shared" si="1"/>
        <v>24.3</v>
      </c>
      <c r="H24" s="35">
        <f t="shared" si="2"/>
        <v>8322.75</v>
      </c>
      <c r="I24" s="36">
        <f t="shared" si="3"/>
        <v>6045.676071428572</v>
      </c>
    </row>
    <row r="25" spans="1:10" x14ac:dyDescent="0.2">
      <c r="A25" s="42" t="s">
        <v>67</v>
      </c>
      <c r="B25" s="52">
        <v>354</v>
      </c>
      <c r="C25" s="48">
        <f t="shared" si="5"/>
        <v>5.6224047619047619</v>
      </c>
      <c r="D25" s="51">
        <f t="shared" si="0"/>
        <v>1990.3312857142857</v>
      </c>
      <c r="E25" s="140">
        <f>'Stove Oil Prices'!E25</f>
        <v>6.72</v>
      </c>
      <c r="F25" s="47">
        <f t="shared" si="7"/>
        <v>50</v>
      </c>
      <c r="G25" s="50">
        <f t="shared" si="1"/>
        <v>21.24</v>
      </c>
      <c r="H25" s="35">
        <f t="shared" si="2"/>
        <v>7136.6399999999994</v>
      </c>
      <c r="I25" s="36">
        <f t="shared" si="3"/>
        <v>5146.3087142857139</v>
      </c>
    </row>
    <row r="26" spans="1:10" x14ac:dyDescent="0.2">
      <c r="A26" s="42" t="s">
        <v>27</v>
      </c>
      <c r="B26" s="52">
        <v>280</v>
      </c>
      <c r="C26" s="48">
        <f t="shared" si="5"/>
        <v>5.6224047619047619</v>
      </c>
      <c r="D26" s="51">
        <f t="shared" si="0"/>
        <v>1574.2733333333333</v>
      </c>
      <c r="E26" s="141">
        <f>'Stove Oil Prices'!E26</f>
        <v>6.5</v>
      </c>
      <c r="F26" s="47">
        <f t="shared" si="7"/>
        <v>50</v>
      </c>
      <c r="G26" s="50">
        <f t="shared" si="1"/>
        <v>16.8</v>
      </c>
      <c r="H26" s="35">
        <f t="shared" si="2"/>
        <v>5460</v>
      </c>
      <c r="I26" s="36">
        <f t="shared" si="3"/>
        <v>3885.7266666666665</v>
      </c>
    </row>
    <row r="27" spans="1:10" x14ac:dyDescent="0.2">
      <c r="A27" s="42" t="s">
        <v>28</v>
      </c>
      <c r="B27" s="52">
        <v>187</v>
      </c>
      <c r="C27" s="48">
        <f t="shared" si="5"/>
        <v>5.6224047619047619</v>
      </c>
      <c r="D27" s="51">
        <f t="shared" si="0"/>
        <v>1051.3896904761905</v>
      </c>
      <c r="E27" s="140">
        <f>'Stove Oil Prices'!E27</f>
        <v>5.35</v>
      </c>
      <c r="F27" s="47">
        <f t="shared" si="7"/>
        <v>50</v>
      </c>
      <c r="G27" s="50">
        <f t="shared" si="1"/>
        <v>11.219999999999999</v>
      </c>
      <c r="H27" s="35">
        <f t="shared" si="2"/>
        <v>3001.35</v>
      </c>
      <c r="I27" s="36">
        <f t="shared" si="3"/>
        <v>1949.9603095238094</v>
      </c>
    </row>
    <row r="28" spans="1:10" x14ac:dyDescent="0.2">
      <c r="A28" s="42" t="s">
        <v>29</v>
      </c>
      <c r="B28" s="52">
        <v>496</v>
      </c>
      <c r="C28" s="48">
        <f t="shared" si="5"/>
        <v>5.6224047619047619</v>
      </c>
      <c r="D28" s="51">
        <f t="shared" si="0"/>
        <v>2788.7127619047619</v>
      </c>
      <c r="E28" s="141">
        <f>'Stove Oil Prices'!E28</f>
        <v>5.51</v>
      </c>
      <c r="F28" s="47">
        <f t="shared" si="7"/>
        <v>50</v>
      </c>
      <c r="G28" s="50">
        <f t="shared" si="1"/>
        <v>29.759999999999998</v>
      </c>
      <c r="H28" s="35">
        <f t="shared" si="2"/>
        <v>8198.8799999999992</v>
      </c>
      <c r="I28" s="36">
        <f t="shared" si="3"/>
        <v>5410.1672380952368</v>
      </c>
    </row>
    <row r="29" spans="1:10" x14ac:dyDescent="0.2">
      <c r="A29" s="42" t="s">
        <v>30</v>
      </c>
      <c r="B29" s="52">
        <v>70</v>
      </c>
      <c r="C29" s="48">
        <f t="shared" si="5"/>
        <v>5.6224047619047619</v>
      </c>
      <c r="D29" s="51">
        <f t="shared" si="0"/>
        <v>393.56833333333333</v>
      </c>
      <c r="E29" s="140">
        <f>'Stove Oil Prices'!E29</f>
        <v>5.9</v>
      </c>
      <c r="F29" s="47">
        <f t="shared" si="7"/>
        <v>50</v>
      </c>
      <c r="G29" s="50">
        <f t="shared" si="1"/>
        <v>4.2</v>
      </c>
      <c r="H29" s="35">
        <f t="shared" si="2"/>
        <v>1239</v>
      </c>
      <c r="I29" s="36">
        <f t="shared" si="3"/>
        <v>845.43166666666662</v>
      </c>
    </row>
    <row r="30" spans="1:10" x14ac:dyDescent="0.2">
      <c r="A30" s="42" t="s">
        <v>31</v>
      </c>
      <c r="B30" s="52">
        <v>568</v>
      </c>
      <c r="C30" s="48">
        <f t="shared" si="5"/>
        <v>5.6224047619047619</v>
      </c>
      <c r="D30" s="51">
        <f t="shared" si="0"/>
        <v>3193.5259047619047</v>
      </c>
      <c r="E30" s="141">
        <f>'Stove Oil Prices'!E30</f>
        <v>6.03</v>
      </c>
      <c r="F30" s="47">
        <f t="shared" si="7"/>
        <v>50</v>
      </c>
      <c r="G30" s="50">
        <f t="shared" si="1"/>
        <v>34.08</v>
      </c>
      <c r="H30" s="35">
        <f t="shared" si="2"/>
        <v>10275.119999999999</v>
      </c>
      <c r="I30" s="36">
        <f t="shared" si="3"/>
        <v>7081.5940952380943</v>
      </c>
    </row>
    <row r="31" spans="1:10" x14ac:dyDescent="0.2">
      <c r="A31" s="42" t="s">
        <v>32</v>
      </c>
      <c r="B31" s="52">
        <v>109</v>
      </c>
      <c r="C31" s="48">
        <f t="shared" si="5"/>
        <v>5.6224047619047619</v>
      </c>
      <c r="D31" s="51">
        <f t="shared" si="0"/>
        <v>612.84211904761901</v>
      </c>
      <c r="E31" s="140">
        <f>'Stove Oil Prices'!E31</f>
        <v>6.2510000000000003</v>
      </c>
      <c r="F31" s="47">
        <f t="shared" si="7"/>
        <v>50</v>
      </c>
      <c r="G31" s="50">
        <f t="shared" si="1"/>
        <v>6.54</v>
      </c>
      <c r="H31" s="35">
        <f t="shared" si="2"/>
        <v>2044.077</v>
      </c>
      <c r="I31" s="36">
        <f t="shared" si="3"/>
        <v>1431.234880952381</v>
      </c>
    </row>
    <row r="32" spans="1:10" x14ac:dyDescent="0.2">
      <c r="A32" s="42" t="s">
        <v>33</v>
      </c>
      <c r="B32" s="52">
        <v>61</v>
      </c>
      <c r="C32" s="48">
        <f t="shared" si="5"/>
        <v>5.6224047619047619</v>
      </c>
      <c r="D32" s="51">
        <f t="shared" si="0"/>
        <v>342.96669047619048</v>
      </c>
      <c r="E32" s="140">
        <f>'Stove Oil Prices'!E32</f>
        <v>3.35</v>
      </c>
      <c r="F32" s="47">
        <f t="shared" si="7"/>
        <v>50</v>
      </c>
      <c r="G32" s="50">
        <f t="shared" si="1"/>
        <v>3.6599999999999997</v>
      </c>
      <c r="H32" s="35">
        <f t="shared" si="2"/>
        <v>613.04999999999995</v>
      </c>
      <c r="I32" s="36">
        <f t="shared" si="3"/>
        <v>270.08330952380948</v>
      </c>
    </row>
    <row r="33" spans="1:10" x14ac:dyDescent="0.2">
      <c r="A33" s="42" t="s">
        <v>34</v>
      </c>
      <c r="B33" s="52">
        <v>669</v>
      </c>
      <c r="C33" s="48">
        <f t="shared" si="5"/>
        <v>5.6224047619047619</v>
      </c>
      <c r="D33" s="51">
        <f t="shared" si="0"/>
        <v>3761.3887857142859</v>
      </c>
      <c r="E33" s="140">
        <f>'Stove Oil Prices'!E33</f>
        <v>4.8499999999999996</v>
      </c>
      <c r="F33" s="47">
        <f t="shared" si="7"/>
        <v>50</v>
      </c>
      <c r="G33" s="50">
        <f t="shared" si="1"/>
        <v>40.14</v>
      </c>
      <c r="H33" s="35">
        <f t="shared" si="2"/>
        <v>9733.9499999999989</v>
      </c>
      <c r="I33" s="36">
        <f t="shared" si="3"/>
        <v>5972.5612142857135</v>
      </c>
    </row>
    <row r="34" spans="1:10" x14ac:dyDescent="0.2">
      <c r="A34" s="42" t="s">
        <v>88</v>
      </c>
      <c r="B34" s="52">
        <v>23</v>
      </c>
      <c r="C34" s="48">
        <f t="shared" si="5"/>
        <v>5.6224047619047619</v>
      </c>
      <c r="D34" s="51">
        <f t="shared" si="0"/>
        <v>129.31530952380953</v>
      </c>
      <c r="E34" s="140">
        <f>'Stove Oil Prices'!E34</f>
        <v>7</v>
      </c>
      <c r="F34" s="47">
        <f t="shared" si="7"/>
        <v>50</v>
      </c>
      <c r="G34" s="50">
        <f t="shared" si="1"/>
        <v>1.38</v>
      </c>
      <c r="H34" s="35">
        <f t="shared" si="2"/>
        <v>482.99999999999994</v>
      </c>
      <c r="I34" s="36">
        <f t="shared" si="3"/>
        <v>353.68469047619044</v>
      </c>
    </row>
    <row r="35" spans="1:10" x14ac:dyDescent="0.2">
      <c r="A35" s="42" t="s">
        <v>45</v>
      </c>
      <c r="B35" s="52">
        <v>312</v>
      </c>
      <c r="C35" s="48">
        <f t="shared" si="5"/>
        <v>5.6224047619047619</v>
      </c>
      <c r="D35" s="51">
        <f t="shared" si="0"/>
        <v>1754.1902857142857</v>
      </c>
      <c r="E35" s="141">
        <f>'Stove Oil Prices'!E35</f>
        <v>4.62</v>
      </c>
      <c r="F35" s="47">
        <f t="shared" si="7"/>
        <v>50</v>
      </c>
      <c r="G35" s="50">
        <f t="shared" si="1"/>
        <v>18.72</v>
      </c>
      <c r="H35" s="35">
        <f t="shared" si="2"/>
        <v>4324.32</v>
      </c>
      <c r="I35" s="36">
        <f t="shared" si="3"/>
        <v>2570.1297142857138</v>
      </c>
    </row>
    <row r="36" spans="1:10" x14ac:dyDescent="0.2">
      <c r="A36" s="42" t="s">
        <v>36</v>
      </c>
      <c r="B36" s="52">
        <v>507</v>
      </c>
      <c r="C36" s="48">
        <f t="shared" si="5"/>
        <v>5.6224047619047619</v>
      </c>
      <c r="D36" s="51">
        <f t="shared" si="0"/>
        <v>2850.5592142857145</v>
      </c>
      <c r="E36" s="141">
        <f>'Stove Oil Prices'!E36</f>
        <v>6.2510000000000003</v>
      </c>
      <c r="F36" s="47">
        <f t="shared" si="7"/>
        <v>50</v>
      </c>
      <c r="G36" s="50">
        <f t="shared" si="1"/>
        <v>30.419999999999998</v>
      </c>
      <c r="H36" s="35">
        <f t="shared" si="2"/>
        <v>9507.7710000000006</v>
      </c>
      <c r="I36" s="36">
        <f t="shared" si="3"/>
        <v>6657.2117857142857</v>
      </c>
    </row>
    <row r="37" spans="1:10" x14ac:dyDescent="0.2">
      <c r="A37" s="42" t="s">
        <v>35</v>
      </c>
      <c r="B37" s="52">
        <v>474</v>
      </c>
      <c r="C37" s="48">
        <f t="shared" si="5"/>
        <v>5.6224047619047619</v>
      </c>
      <c r="D37" s="51">
        <f t="shared" si="0"/>
        <v>2665.0198571428573</v>
      </c>
      <c r="E37" s="140">
        <f>'Stove Oil Prices'!E37</f>
        <v>5.99</v>
      </c>
      <c r="F37" s="47">
        <f t="shared" si="7"/>
        <v>50</v>
      </c>
      <c r="G37" s="50">
        <f t="shared" si="1"/>
        <v>28.439999999999998</v>
      </c>
      <c r="H37" s="35">
        <f t="shared" si="2"/>
        <v>8517.7799999999988</v>
      </c>
      <c r="I37" s="36">
        <f t="shared" si="3"/>
        <v>5852.7601428571415</v>
      </c>
    </row>
    <row r="38" spans="1:10" x14ac:dyDescent="0.2">
      <c r="A38" s="42" t="s">
        <v>89</v>
      </c>
      <c r="B38" s="52">
        <v>86</v>
      </c>
      <c r="C38" s="48">
        <f t="shared" si="5"/>
        <v>5.6224047619047619</v>
      </c>
      <c r="D38" s="51">
        <f t="shared" si="0"/>
        <v>483.5268095238095</v>
      </c>
      <c r="E38" s="140">
        <f>'Stove Oil Prices'!E38</f>
        <v>7</v>
      </c>
      <c r="F38" s="47">
        <f t="shared" si="7"/>
        <v>50</v>
      </c>
      <c r="G38" s="50">
        <f t="shared" si="1"/>
        <v>5.16</v>
      </c>
      <c r="H38" s="35">
        <f t="shared" si="2"/>
        <v>1806</v>
      </c>
      <c r="I38" s="36">
        <f t="shared" si="3"/>
        <v>1322.4731904761904</v>
      </c>
    </row>
    <row r="39" spans="1:10" x14ac:dyDescent="0.2">
      <c r="A39" s="42" t="s">
        <v>37</v>
      </c>
      <c r="B39" s="52">
        <v>590</v>
      </c>
      <c r="C39" s="48">
        <f t="shared" si="5"/>
        <v>5.6224047619047619</v>
      </c>
      <c r="D39" s="51">
        <f t="shared" si="0"/>
        <v>3317.2188095238093</v>
      </c>
      <c r="E39" s="140">
        <f>'Stove Oil Prices'!E39</f>
        <v>6.56</v>
      </c>
      <c r="F39" s="47">
        <f t="shared" si="7"/>
        <v>50</v>
      </c>
      <c r="G39" s="50">
        <f t="shared" si="1"/>
        <v>35.4</v>
      </c>
      <c r="H39" s="35">
        <f t="shared" si="2"/>
        <v>11611.199999999999</v>
      </c>
      <c r="I39" s="36">
        <f t="shared" si="3"/>
        <v>8293.98119047619</v>
      </c>
    </row>
    <row r="40" spans="1:10" x14ac:dyDescent="0.2">
      <c r="A40" s="42" t="s">
        <v>38</v>
      </c>
      <c r="B40" s="52">
        <v>373</v>
      </c>
      <c r="C40" s="48">
        <f t="shared" si="5"/>
        <v>5.6224047619047619</v>
      </c>
      <c r="D40" s="51">
        <f t="shared" si="0"/>
        <v>2097.1569761904761</v>
      </c>
      <c r="E40" s="141">
        <f>'Stove Oil Prices'!E40</f>
        <v>6</v>
      </c>
      <c r="F40" s="47">
        <f t="shared" si="7"/>
        <v>50</v>
      </c>
      <c r="G40" s="50">
        <f t="shared" si="1"/>
        <v>22.38</v>
      </c>
      <c r="H40" s="35">
        <f t="shared" si="2"/>
        <v>6714</v>
      </c>
      <c r="I40" s="36">
        <f t="shared" si="3"/>
        <v>4616.8430238095243</v>
      </c>
    </row>
    <row r="41" spans="1:10" x14ac:dyDescent="0.2">
      <c r="A41" s="42" t="s">
        <v>39</v>
      </c>
      <c r="B41" s="52">
        <v>408</v>
      </c>
      <c r="C41" s="48">
        <f t="shared" si="5"/>
        <v>5.6224047619047619</v>
      </c>
      <c r="D41" s="51">
        <f t="shared" si="0"/>
        <v>2293.9411428571429</v>
      </c>
      <c r="E41" s="140">
        <f>'Stove Oil Prices'!E41</f>
        <v>4.75</v>
      </c>
      <c r="F41" s="47">
        <f t="shared" si="7"/>
        <v>50</v>
      </c>
      <c r="G41" s="50">
        <f t="shared" si="1"/>
        <v>24.48</v>
      </c>
      <c r="H41" s="35">
        <f t="shared" si="2"/>
        <v>5814</v>
      </c>
      <c r="I41" s="36">
        <f t="shared" si="3"/>
        <v>3520.0588571428571</v>
      </c>
    </row>
    <row r="42" spans="1:10" x14ac:dyDescent="0.2">
      <c r="A42" s="42" t="s">
        <v>40</v>
      </c>
      <c r="B42" s="52">
        <v>327</v>
      </c>
      <c r="C42" s="48">
        <f t="shared" si="5"/>
        <v>5.6224047619047619</v>
      </c>
      <c r="D42" s="51">
        <f t="shared" si="0"/>
        <v>1838.5263571428573</v>
      </c>
      <c r="E42" s="141">
        <f>'Stove Oil Prices'!E42</f>
        <v>4.75</v>
      </c>
      <c r="F42" s="47">
        <f t="shared" si="7"/>
        <v>50</v>
      </c>
      <c r="G42" s="50">
        <f t="shared" si="1"/>
        <v>19.62</v>
      </c>
      <c r="H42" s="35">
        <f t="shared" si="2"/>
        <v>4659.75</v>
      </c>
      <c r="I42" s="36">
        <f t="shared" si="3"/>
        <v>2821.2236428571427</v>
      </c>
    </row>
    <row r="43" spans="1:10" ht="13.5" thickBot="1" x14ac:dyDescent="0.25">
      <c r="A43" s="42" t="s">
        <v>114</v>
      </c>
      <c r="B43" s="52">
        <v>210</v>
      </c>
      <c r="C43" s="48">
        <f t="shared" si="5"/>
        <v>5.6224047619047619</v>
      </c>
      <c r="D43" s="51">
        <f t="shared" si="0"/>
        <v>1180.7049999999999</v>
      </c>
      <c r="E43" s="140">
        <f>'Stove Oil Prices'!E43</f>
        <v>5.7</v>
      </c>
      <c r="F43" s="47">
        <f>F19</f>
        <v>50</v>
      </c>
      <c r="G43" s="50">
        <f t="shared" si="1"/>
        <v>12.6</v>
      </c>
      <c r="H43" s="35">
        <f t="shared" si="2"/>
        <v>3591</v>
      </c>
      <c r="I43" s="36">
        <f t="shared" si="3"/>
        <v>2410.2950000000001</v>
      </c>
      <c r="J43" s="139"/>
    </row>
    <row r="44" spans="1:10" ht="17.25" customHeight="1" x14ac:dyDescent="0.25">
      <c r="A44" s="195">
        <f>Budget!N18</f>
        <v>173139.24</v>
      </c>
      <c r="B44" s="193">
        <f>SUM(B2:B43)</f>
        <v>17535</v>
      </c>
      <c r="C44" s="142"/>
      <c r="D44" s="142">
        <f t="shared" ref="D44:I44" si="8">SUM(D2:D43)</f>
        <v>98588.867500000022</v>
      </c>
      <c r="E44" s="143">
        <f t="shared" si="8"/>
        <v>236.14099999999999</v>
      </c>
      <c r="F44" s="144">
        <f t="shared" si="8"/>
        <v>2100</v>
      </c>
      <c r="G44" s="145">
        <f t="shared" si="8"/>
        <v>1052.0999999999997</v>
      </c>
      <c r="H44" s="146">
        <f t="shared" si="8"/>
        <v>294362.91900000005</v>
      </c>
      <c r="I44" s="146">
        <f t="shared" si="8"/>
        <v>195774.0515</v>
      </c>
    </row>
    <row r="45" spans="1:10" s="139" customFormat="1" ht="15.75" thickBot="1" x14ac:dyDescent="0.3">
      <c r="A45" s="196" t="s">
        <v>110</v>
      </c>
      <c r="B45" s="194"/>
      <c r="C45" s="147"/>
      <c r="D45" s="147"/>
      <c r="E45" s="148">
        <f>AVERAGE(E2:E43)</f>
        <v>5.6224047619047619</v>
      </c>
      <c r="F45" s="149">
        <f>AVERAGE(F2:F43)</f>
        <v>50</v>
      </c>
      <c r="G45" s="150"/>
      <c r="H45" s="151">
        <f>A44-H44</f>
        <v>-121223.67900000006</v>
      </c>
      <c r="I45" s="152"/>
    </row>
  </sheetData>
  <sortState ref="A2:J43">
    <sortCondition ref="A2:A43"/>
  </sortState>
  <pageMargins left="0.7" right="0.7" top="0.75" bottom="0.75" header="0.3" footer="0.3"/>
  <pageSetup scale="99" fitToHeight="0" orientation="portrait" r:id="rId1"/>
  <headerFooter>
    <oddHeader>&amp;L&amp;16FY 2018&amp;C&amp;18CHAP Breakdown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Budget</vt:lpstr>
      <vt:lpstr>LIHEAP Projected Budget</vt:lpstr>
      <vt:lpstr>Fed Pov Guidelines</vt:lpstr>
      <vt:lpstr>Yr. Poverty Guidelines 0-150%</vt:lpstr>
      <vt:lpstr>Mo. Poverty Guidelines 0-150%</vt:lpstr>
      <vt:lpstr>Stove Oil Prices</vt:lpstr>
      <vt:lpstr>LIHEAP Formula</vt:lpstr>
      <vt:lpstr>Payment Matrix</vt:lpstr>
      <vt:lpstr>CHAP Breakdown</vt:lpstr>
      <vt:lpstr>CHAP Matrix</vt:lpstr>
      <vt:lpstr>'CHAP Breakdown'!Print_Area</vt:lpstr>
      <vt:lpstr>'Fed Pov Guidelines'!Print_Area</vt:lpstr>
      <vt:lpstr>'LIHEAP Projected Budget'!Print_Area</vt:lpstr>
      <vt:lpstr>'Payment Matrix'!Print_Area</vt:lpstr>
      <vt:lpstr>'Stove Oil Prices'!Print_Area</vt:lpstr>
      <vt:lpstr>'Yr. Poverty Guidelines 0-150%'!Print_Area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mnichols</dc:creator>
  <cp:lastModifiedBy>Allen Puckett</cp:lastModifiedBy>
  <cp:lastPrinted>2018-12-29T01:52:09Z</cp:lastPrinted>
  <dcterms:created xsi:type="dcterms:W3CDTF">2013-04-29T21:43:19Z</dcterms:created>
  <dcterms:modified xsi:type="dcterms:W3CDTF">2019-11-26T19:56:09Z</dcterms:modified>
</cp:coreProperties>
</file>